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My Documents\P SOTO\P SOTO\Billing\Billing Web Pages\FY25\"/>
    </mc:Choice>
  </mc:AlternateContent>
  <xr:revisionPtr revIDLastSave="0" documentId="13_ncr:1_{1EF6C55F-F380-4F31-9168-9A3CAD3B5573}" xr6:coauthVersionLast="36" xr6:coauthVersionMax="36" xr10:uidLastSave="{00000000-0000-0000-0000-000000000000}"/>
  <workbookProtection workbookAlgorithmName="SHA-512" workbookHashValue="Vvhc2Llwa/2A6EzTw/tD0AqIdikikmWR9jhsGcjfWz7niM5BS+ZYO4y1/vy27W6DcPjiVFsm+sXWRYhbmATbiA==" workbookSaltValue="joim7B0PjScDN4hzA9yMIg==" workbookSpinCount="100000" lockStructure="1"/>
  <bookViews>
    <workbookView xWindow="30" yWindow="-135" windowWidth="15225" windowHeight="11985" xr2:uid="{00000000-000D-0000-FFFF-FFFF00000000}"/>
  </bookViews>
  <sheets>
    <sheet name="10 01 24" sheetId="2" r:id="rId1"/>
  </sheets>
  <definedNames>
    <definedName name="_xlnm.Print_Area" localSheetId="0">'10 01 24'!$A$1:$L$53</definedName>
    <definedName name="_xlnm.Print_Area">#REF!</definedName>
    <definedName name="Z_1A8B4BEA_C357_4129_86A1_A3AD3C825BA2_.wvu.PrintArea" localSheetId="0" hidden="1">'10 01 24'!$A$1:$L$18</definedName>
    <definedName name="Z_CF114C63_0154_45FB_BB2B_33D20660D481_.wvu.PrintArea" localSheetId="0" hidden="1">'10 01 24'!$A$1:$L$53</definedName>
    <definedName name="Z_CF114C63_0154_45FB_BB2B_33D20660D481_.wvu.Rows" localSheetId="0" hidden="1">'10 01 24'!$1:$4</definedName>
    <definedName name="Z_E767D3DD_8B75_4614_AC69_EA812918DD4B_.wvu.PrintArea" localSheetId="0" hidden="1">'10 01 24'!$A$1:$L$18</definedName>
    <definedName name="Z_E767D3DD_8B75_4614_AC69_EA812918DD4B_.wvu.Rows" localSheetId="0" hidden="1">'10 01 24'!$2:$2</definedName>
  </definedNames>
  <calcPr calcId="191029"/>
  <customWorkbookViews>
    <customWorkbookView name="Patricia Soto - Personal View" guid="{E767D3DD-8B75-4614-AC69-EA812918DD4B}" mergeInterval="0" personalView="1" maximized="1" xWindow="1" yWindow="1" windowWidth="1020" windowHeight="524" activeSheetId="1"/>
    <customWorkbookView name="Preferred Customer - Personal View" guid="{1A8B4BEA-C357-4129-86A1-A3AD3C825BA2}" mergeInterval="0" personalView="1" maximized="1" windowWidth="788" windowHeight="394" activeSheetId="1"/>
    <customWorkbookView name="psoto - Personal View" guid="{CF114C63-0154-45FB-BB2B-33D20660D481}" mergeInterval="0" personalView="1" maximized="1" xWindow="1" yWindow="1" windowWidth="1680" windowHeight="820" activeSheetId="2"/>
  </customWorkbookViews>
</workbook>
</file>

<file path=xl/calcChain.xml><?xml version="1.0" encoding="utf-8"?>
<calcChain xmlns="http://schemas.openxmlformats.org/spreadsheetml/2006/main">
  <c r="D26" i="2" l="1"/>
  <c r="I18" i="2" l="1"/>
  <c r="I27" i="2" l="1"/>
  <c r="I31" i="2" l="1"/>
  <c r="L31" i="2" l="1"/>
  <c r="D43" i="2"/>
  <c r="I52" i="2"/>
  <c r="L52" i="2" s="1"/>
  <c r="I51" i="2"/>
  <c r="L51" i="2" s="1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L44" i="2" s="1"/>
  <c r="I43" i="2"/>
  <c r="B51" i="2"/>
  <c r="D51" i="2" s="1"/>
  <c r="B50" i="2"/>
  <c r="D50" i="2" s="1"/>
  <c r="B49" i="2"/>
  <c r="D49" i="2" s="1"/>
  <c r="B48" i="2"/>
  <c r="D48" i="2" s="1"/>
  <c r="B47" i="2"/>
  <c r="D47" i="2" s="1"/>
  <c r="B46" i="2"/>
  <c r="D46" i="2" s="1"/>
  <c r="B45" i="2"/>
  <c r="D45" i="2" s="1"/>
  <c r="B44" i="2"/>
  <c r="D44" i="2" s="1"/>
  <c r="B43" i="2"/>
  <c r="B33" i="2"/>
  <c r="D33" i="2" s="1"/>
  <c r="B32" i="2"/>
  <c r="D32" i="2" s="1"/>
  <c r="B31" i="2"/>
  <c r="D31" i="2" s="1"/>
  <c r="I30" i="2"/>
  <c r="L30" i="2" s="1"/>
  <c r="B30" i="2"/>
  <c r="D30" i="2" s="1"/>
  <c r="I29" i="2"/>
  <c r="L29" i="2" s="1"/>
  <c r="B29" i="2"/>
  <c r="D29" i="2" s="1"/>
  <c r="I28" i="2"/>
  <c r="L28" i="2" s="1"/>
  <c r="B28" i="2"/>
  <c r="D28" i="2" s="1"/>
  <c r="L27" i="2"/>
  <c r="B27" i="2"/>
  <c r="D27" i="2" s="1"/>
  <c r="I26" i="2"/>
  <c r="B26" i="2"/>
  <c r="L34" i="2" l="1"/>
  <c r="B18" i="2" s="1"/>
  <c r="D34" i="2"/>
  <c r="A18" i="2" s="1"/>
  <c r="B34" i="2"/>
  <c r="I34" i="2"/>
  <c r="L53" i="2"/>
  <c r="B19" i="2" s="1"/>
  <c r="B52" i="2"/>
  <c r="I53" i="2"/>
  <c r="D52" i="2"/>
  <c r="A19" i="2" s="1"/>
  <c r="J18" i="2" l="1"/>
</calcChain>
</file>

<file path=xl/sharedStrings.xml><?xml version="1.0" encoding="utf-8"?>
<sst xmlns="http://schemas.openxmlformats.org/spreadsheetml/2006/main" count="145" uniqueCount="85">
  <si>
    <t>CITY OF LAREDO - UTILITIES DEPARTMENT</t>
  </si>
  <si>
    <t>NPDES</t>
  </si>
  <si>
    <t>Tiers</t>
  </si>
  <si>
    <t># Gallons</t>
  </si>
  <si>
    <t>Subtotal</t>
  </si>
  <si>
    <t>2,001 - 4,000</t>
  </si>
  <si>
    <t>TOTAL</t>
  </si>
  <si>
    <t>4,001 - 10,000</t>
  </si>
  <si>
    <t>10,001 - 20,000</t>
  </si>
  <si>
    <t>20,001 - 30,000</t>
  </si>
  <si>
    <t>30,001 - 40,000</t>
  </si>
  <si>
    <t>40,001 - 50,000</t>
  </si>
  <si>
    <t>Over 50,000</t>
  </si>
  <si>
    <t>Rate per 1,000 gals</t>
  </si>
  <si>
    <t>WATER</t>
  </si>
  <si>
    <t>F/S MAND</t>
  </si>
  <si>
    <t>SEWER RATES PER TIER - RESIDENTIAL ACCOUNT</t>
  </si>
  <si>
    <t>WATER RATES PER TIER - RESIDENTIAL ACCOUNT</t>
  </si>
  <si>
    <t>Minimum Fee</t>
  </si>
  <si>
    <t>A</t>
  </si>
  <si>
    <t>WATER RATES PER TIER - COMMERCIAL ACCOUNT</t>
  </si>
  <si>
    <t>SEWER RATES PER TIER - COMMERCIAL ACCOUNT</t>
  </si>
  <si>
    <t>10,001 - 40,000</t>
  </si>
  <si>
    <t>40,001 - 150,000</t>
  </si>
  <si>
    <t>150,001 - 300,000</t>
  </si>
  <si>
    <t>300,001 - 600,000</t>
  </si>
  <si>
    <t>1,000,001 &amp; Over</t>
  </si>
  <si>
    <t>10,001 - 30,000</t>
  </si>
  <si>
    <t>600,001 - 1,000,000</t>
  </si>
  <si>
    <t>150,000 - 300,000</t>
  </si>
  <si>
    <t>0 - 2,000</t>
  </si>
  <si>
    <t>B</t>
  </si>
  <si>
    <t>C</t>
  </si>
  <si>
    <t>D</t>
  </si>
  <si>
    <t>E</t>
  </si>
  <si>
    <t>F</t>
  </si>
  <si>
    <t>G</t>
  </si>
  <si>
    <t>H</t>
  </si>
  <si>
    <t>I</t>
  </si>
  <si>
    <t>EA</t>
  </si>
  <si>
    <t>FA</t>
  </si>
  <si>
    <t>GB</t>
  </si>
  <si>
    <t>HC</t>
  </si>
  <si>
    <t>IC</t>
  </si>
  <si>
    <t>3/4" X 5/8"</t>
  </si>
  <si>
    <t>3/4" X 3/4"</t>
  </si>
  <si>
    <t>1"</t>
  </si>
  <si>
    <t>1 1/2"</t>
  </si>
  <si>
    <t>2"</t>
  </si>
  <si>
    <t>3"</t>
  </si>
  <si>
    <t>4"</t>
  </si>
  <si>
    <t>6"</t>
  </si>
  <si>
    <t>8"</t>
  </si>
  <si>
    <t>Second Dial Size</t>
  </si>
  <si>
    <t>5/8"</t>
  </si>
  <si>
    <t>3/4"</t>
  </si>
  <si>
    <t>Minimums for Water</t>
  </si>
  <si>
    <t>Effective October 1, 2016</t>
  </si>
  <si>
    <t>SEWER</t>
  </si>
  <si>
    <t>TOTAL BILL CHARGES</t>
  </si>
  <si>
    <r>
      <t xml:space="preserve">ENTER USAGE HERE   </t>
    </r>
    <r>
      <rPr>
        <b/>
        <i/>
        <sz val="30"/>
        <rFont val="Calibri"/>
        <family val="2"/>
        <scheme val="minor"/>
      </rPr>
      <t>→→→</t>
    </r>
  </si>
  <si>
    <t>Tiers (Gallons)</t>
  </si>
  <si>
    <t>Over 30,000</t>
  </si>
  <si>
    <r>
      <t>GARBAGE</t>
    </r>
    <r>
      <rPr>
        <b/>
        <i/>
        <vertAlign val="superscript"/>
        <sz val="18"/>
        <color rgb="FF0000FF"/>
        <rFont val="Calibri"/>
        <family val="2"/>
      </rPr>
      <t>2</t>
    </r>
  </si>
  <si>
    <r>
      <t>TAX</t>
    </r>
    <r>
      <rPr>
        <b/>
        <i/>
        <vertAlign val="superscript"/>
        <sz val="18"/>
        <color rgb="FF0000FF"/>
        <rFont val="Calibri"/>
        <family val="2"/>
      </rPr>
      <t>2</t>
    </r>
  </si>
  <si>
    <r>
      <rPr>
        <b/>
        <i/>
        <vertAlign val="superscript"/>
        <sz val="14"/>
        <color rgb="FF0000FF"/>
        <rFont val="Arial"/>
        <family val="2"/>
      </rPr>
      <t>1</t>
    </r>
    <r>
      <rPr>
        <b/>
        <i/>
        <sz val="14"/>
        <color rgb="FF0000FF"/>
        <rFont val="Arial"/>
        <family val="2"/>
      </rPr>
      <t>Irrigation accounts charged WATER only.</t>
    </r>
  </si>
  <si>
    <r>
      <rPr>
        <b/>
        <i/>
        <vertAlign val="superscript"/>
        <sz val="14"/>
        <color rgb="FF0000FF"/>
        <rFont val="Arial"/>
        <family val="2"/>
      </rPr>
      <t>2</t>
    </r>
    <r>
      <rPr>
        <b/>
        <i/>
        <sz val="14"/>
        <color rgb="FF0000FF"/>
        <rFont val="Arial"/>
        <family val="2"/>
      </rPr>
      <t>Garbage fees &amp; Tax will vary on the number of containers requested.</t>
    </r>
  </si>
  <si>
    <t>RESIDENTIAL ACCOUNT</t>
  </si>
  <si>
    <r>
      <t>MONTHLY WATER BILL CALCULATION</t>
    </r>
    <r>
      <rPr>
        <b/>
        <sz val="20"/>
        <rFont val="Calibri"/>
        <family val="2"/>
      </rPr>
      <t/>
    </r>
  </si>
  <si>
    <r>
      <rPr>
        <b/>
        <i/>
        <vertAlign val="superscript"/>
        <sz val="14"/>
        <color rgb="FF0000FF"/>
        <rFont val="Arial"/>
        <family val="2"/>
      </rPr>
      <t>3</t>
    </r>
    <r>
      <rPr>
        <b/>
        <i/>
        <sz val="14"/>
        <color rgb="FF0000FF"/>
        <rFont val="Arial"/>
        <family val="2"/>
      </rPr>
      <t>Water Demand Fee is dependent on size of meter at location.</t>
    </r>
  </si>
  <si>
    <r>
      <t xml:space="preserve"> DEMAND FEE</t>
    </r>
    <r>
      <rPr>
        <b/>
        <i/>
        <vertAlign val="superscript"/>
        <sz val="18"/>
        <color rgb="FF0000FF"/>
        <rFont val="Calibri"/>
        <family val="2"/>
      </rPr>
      <t>3</t>
    </r>
  </si>
  <si>
    <t>Water Demand Fees</t>
  </si>
  <si>
    <t>RES &amp; COMM</t>
  </si>
  <si>
    <t>MTR</t>
  </si>
  <si>
    <t>RATE</t>
  </si>
  <si>
    <t>WD00</t>
  </si>
  <si>
    <t>WD01</t>
  </si>
  <si>
    <t>WD10</t>
  </si>
  <si>
    <t>WD15</t>
  </si>
  <si>
    <t>WD20</t>
  </si>
  <si>
    <r>
      <t>WATER</t>
    </r>
    <r>
      <rPr>
        <b/>
        <vertAlign val="superscript"/>
        <sz val="18"/>
        <color rgb="FF0000FF"/>
        <rFont val="Calibri"/>
        <family val="2"/>
        <scheme val="minor"/>
      </rPr>
      <t>1</t>
    </r>
  </si>
  <si>
    <t>SUMMARY OF CHARGES</t>
  </si>
  <si>
    <t>Effective October 1, 2024</t>
  </si>
  <si>
    <r>
      <rPr>
        <b/>
        <i/>
        <sz val="13"/>
        <rFont val="Calibri"/>
        <family val="2"/>
        <scheme val="minor"/>
      </rPr>
      <t>METER LETTER &amp; USAGE CAN BE FOUND ON YOUR BILL IN THE SECTION:</t>
    </r>
    <r>
      <rPr>
        <b/>
        <i/>
        <sz val="14"/>
        <rFont val="Calibri"/>
        <family val="2"/>
        <scheme val="minor"/>
      </rPr>
      <t xml:space="preserve"> </t>
    </r>
    <r>
      <rPr>
        <b/>
        <sz val="17"/>
        <color rgb="FF0000FF"/>
        <rFont val="Calibri"/>
        <family val="2"/>
        <scheme val="minor"/>
      </rPr>
      <t xml:space="preserve">SERVICE READING &amp; CONSUMPTION INFORMATION </t>
    </r>
    <r>
      <rPr>
        <b/>
        <i/>
        <sz val="12"/>
        <rFont val="Calibri"/>
        <family val="2"/>
        <scheme val="minor"/>
      </rPr>
      <t>(SAMPLE BILL ↓)</t>
    </r>
  </si>
  <si>
    <r>
      <t xml:space="preserve">ENTER METER LETTER HERE   </t>
    </r>
    <r>
      <rPr>
        <b/>
        <i/>
        <sz val="30"/>
        <rFont val="Calibri"/>
        <family val="2"/>
        <scheme val="minor"/>
      </rPr>
      <t>→→→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</si>
</sst>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[$$-409]#,##0.00_);\([$$-409]#,##0.00\)"/>
  </numFmts>
  <fonts count="56" x14ac:knownFonts="1">
    <font>
      <sz val="12"/>
      <name val="Arial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  <scheme val="minor"/>
    </font>
    <font>
      <b/>
      <sz val="3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rgb="FF009900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Arial"/>
      <family val="2"/>
    </font>
    <font>
      <b/>
      <sz val="18"/>
      <color theme="1"/>
      <name val="Calibri"/>
      <family val="2"/>
      <scheme val="minor"/>
    </font>
    <font>
      <i/>
      <sz val="22"/>
      <name val="Arial"/>
      <family val="2"/>
    </font>
    <font>
      <b/>
      <sz val="12"/>
      <name val="Arial"/>
      <family val="2"/>
    </font>
    <font>
      <b/>
      <sz val="22"/>
      <color rgb="FF7030A0"/>
      <name val="Arial"/>
      <family val="2"/>
    </font>
    <font>
      <b/>
      <sz val="22"/>
      <color theme="9" tint="-0.499984740745262"/>
      <name val="Arial"/>
      <family val="2"/>
    </font>
    <font>
      <b/>
      <sz val="14"/>
      <name val="Calibri"/>
      <family val="2"/>
      <scheme val="minor"/>
    </font>
    <font>
      <b/>
      <sz val="24"/>
      <color rgb="FF0000FF"/>
      <name val="Calibri"/>
      <family val="2"/>
      <scheme val="minor"/>
    </font>
    <font>
      <sz val="12"/>
      <color rgb="FF0000FF"/>
      <name val="Arial"/>
      <family val="2"/>
    </font>
    <font>
      <b/>
      <i/>
      <sz val="16"/>
      <color rgb="FF0000FF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30"/>
      <name val="Arial"/>
      <family val="2"/>
    </font>
    <font>
      <b/>
      <i/>
      <vertAlign val="superscript"/>
      <sz val="18"/>
      <color rgb="FF0000FF"/>
      <name val="Calibri"/>
      <family val="2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sz val="16"/>
      <color rgb="FF0000FF"/>
      <name val="Calibri"/>
      <family val="2"/>
      <scheme val="minor"/>
    </font>
    <font>
      <b/>
      <sz val="30"/>
      <color rgb="FF0000FF"/>
      <name val="Arial"/>
      <family val="2"/>
    </font>
    <font>
      <sz val="30"/>
      <color rgb="FF0000FF"/>
      <name val="Arial"/>
      <family val="2"/>
    </font>
    <font>
      <sz val="12"/>
      <color rgb="FF0000FF"/>
      <name val="Calibri"/>
      <family val="2"/>
      <scheme val="minor"/>
    </font>
    <font>
      <b/>
      <i/>
      <sz val="22"/>
      <name val="Calibri"/>
      <family val="2"/>
      <scheme val="minor"/>
    </font>
    <font>
      <b/>
      <i/>
      <sz val="30"/>
      <name val="Calibri"/>
      <family val="2"/>
      <scheme val="minor"/>
    </font>
    <font>
      <b/>
      <i/>
      <sz val="14"/>
      <color rgb="FF0000FF"/>
      <name val="Arial"/>
      <family val="2"/>
    </font>
    <font>
      <b/>
      <i/>
      <vertAlign val="superscript"/>
      <sz val="14"/>
      <color rgb="FF0000FF"/>
      <name val="Arial"/>
      <family val="2"/>
    </font>
    <font>
      <sz val="16"/>
      <color theme="0"/>
      <name val="Arial"/>
      <family val="2"/>
    </font>
    <font>
      <b/>
      <sz val="17"/>
      <color rgb="FF0000FF"/>
      <name val="Calibri"/>
      <family val="2"/>
      <scheme val="minor"/>
    </font>
    <font>
      <b/>
      <i/>
      <sz val="20"/>
      <color rgb="FF0000FF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0080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i/>
      <sz val="2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slantDashDot">
        <color rgb="FF0000FF"/>
      </left>
      <right/>
      <top style="slantDashDot">
        <color rgb="FF0000FF"/>
      </top>
      <bottom style="slantDashDot">
        <color rgb="FF0000FF"/>
      </bottom>
      <diagonal/>
    </border>
    <border>
      <left/>
      <right/>
      <top style="slantDashDot">
        <color rgb="FF0000FF"/>
      </top>
      <bottom style="slantDashDot">
        <color rgb="FF0000FF"/>
      </bottom>
      <diagonal/>
    </border>
    <border>
      <left/>
      <right style="slantDashDot">
        <color rgb="FF0000FF"/>
      </right>
      <top style="slantDashDot">
        <color rgb="FF0000FF"/>
      </top>
      <bottom style="slantDashDot">
        <color rgb="FF0000FF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0" xfId="0" applyNumberFormat="1" applyFont="1" applyAlignment="1"/>
    <xf numFmtId="0" fontId="1" fillId="2" borderId="0" xfId="0" applyNumberFormat="1" applyFont="1" applyFill="1" applyAlignment="1"/>
    <xf numFmtId="2" fontId="3" fillId="2" borderId="0" xfId="0" applyNumberFormat="1" applyFont="1" applyFill="1" applyBorder="1" applyAlignment="1" applyProtection="1"/>
    <xf numFmtId="2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43" fontId="5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>
      <alignment wrapText="1"/>
    </xf>
    <xf numFmtId="0" fontId="1" fillId="2" borderId="0" xfId="0" applyNumberFormat="1" applyFont="1" applyFill="1" applyBorder="1" applyAlignment="1" applyProtection="1"/>
    <xf numFmtId="43" fontId="17" fillId="2" borderId="0" xfId="0" applyNumberFormat="1" applyFont="1" applyFill="1" applyBorder="1" applyProtection="1"/>
    <xf numFmtId="44" fontId="20" fillId="2" borderId="0" xfId="0" applyNumberFormat="1" applyFont="1" applyFill="1" applyBorder="1" applyProtection="1"/>
    <xf numFmtId="0" fontId="16" fillId="2" borderId="0" xfId="0" applyNumberFormat="1" applyFont="1" applyFill="1" applyBorder="1" applyAlignment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2" fontId="10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center" wrapText="1"/>
    </xf>
    <xf numFmtId="8" fontId="24" fillId="2" borderId="0" xfId="0" applyNumberFormat="1" applyFont="1" applyFill="1" applyBorder="1" applyAlignment="1" applyProtection="1">
      <alignment horizontal="center" vertical="center" wrapText="1"/>
    </xf>
    <xf numFmtId="8" fontId="23" fillId="2" borderId="0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Protection="1"/>
    <xf numFmtId="0" fontId="1" fillId="4" borderId="0" xfId="0" applyNumberFormat="1" applyFont="1" applyFill="1" applyBorder="1" applyAlignment="1" applyProtection="1"/>
    <xf numFmtId="0" fontId="18" fillId="4" borderId="0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2" fontId="18" fillId="4" borderId="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>
      <alignment horizontal="right"/>
    </xf>
    <xf numFmtId="41" fontId="5" fillId="4" borderId="0" xfId="0" applyNumberFormat="1" applyFont="1" applyFill="1" applyBorder="1" applyProtection="1"/>
    <xf numFmtId="43" fontId="5" fillId="4" borderId="0" xfId="0" applyNumberFormat="1" applyFont="1" applyFill="1" applyBorder="1" applyAlignment="1" applyProtection="1">
      <alignment horizontal="right"/>
    </xf>
    <xf numFmtId="43" fontId="5" fillId="4" borderId="0" xfId="0" applyNumberFormat="1" applyFont="1" applyFill="1" applyBorder="1"/>
    <xf numFmtId="164" fontId="18" fillId="4" borderId="0" xfId="0" applyNumberFormat="1" applyFont="1" applyFill="1" applyBorder="1" applyProtection="1"/>
    <xf numFmtId="43" fontId="5" fillId="4" borderId="0" xfId="0" applyNumberFormat="1" applyFont="1" applyFill="1" applyBorder="1" applyProtection="1"/>
    <xf numFmtId="39" fontId="18" fillId="4" borderId="0" xfId="0" applyNumberFormat="1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41" fontId="6" fillId="4" borderId="0" xfId="0" applyNumberFormat="1" applyFont="1" applyFill="1" applyBorder="1" applyProtection="1"/>
    <xf numFmtId="44" fontId="6" fillId="4" borderId="0" xfId="0" applyNumberFormat="1" applyFont="1" applyFill="1" applyBorder="1" applyProtection="1"/>
    <xf numFmtId="2" fontId="18" fillId="4" borderId="0" xfId="0" applyNumberFormat="1" applyFont="1" applyFill="1" applyBorder="1" applyProtection="1"/>
    <xf numFmtId="0" fontId="19" fillId="4" borderId="0" xfId="0" applyNumberFormat="1" applyFont="1" applyFill="1" applyBorder="1" applyAlignment="1"/>
    <xf numFmtId="0" fontId="16" fillId="4" borderId="0" xfId="0" applyNumberFormat="1" applyFont="1" applyFill="1" applyBorder="1" applyAlignment="1"/>
    <xf numFmtId="0" fontId="6" fillId="4" borderId="0" xfId="0" applyFont="1" applyFill="1" applyBorder="1" applyProtection="1"/>
    <xf numFmtId="0" fontId="14" fillId="4" borderId="0" xfId="0" applyFont="1" applyFill="1" applyBorder="1" applyProtection="1"/>
    <xf numFmtId="0" fontId="15" fillId="4" borderId="0" xfId="0" applyFont="1" applyFill="1" applyBorder="1" applyProtection="1"/>
    <xf numFmtId="0" fontId="22" fillId="2" borderId="0" xfId="0" applyNumberFormat="1" applyFont="1" applyFill="1" applyAlignment="1"/>
    <xf numFmtId="0" fontId="1" fillId="2" borderId="0" xfId="0" applyNumberFormat="1" applyFont="1" applyFill="1" applyBorder="1" applyAlignment="1"/>
    <xf numFmtId="40" fontId="22" fillId="2" borderId="0" xfId="0" applyNumberFormat="1" applyFont="1" applyFill="1" applyAlignment="1"/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28" fillId="2" borderId="0" xfId="0" applyNumberFormat="1" applyFont="1" applyFill="1" applyBorder="1" applyAlignment="1" applyProtection="1">
      <alignment vertical="center"/>
    </xf>
    <xf numFmtId="0" fontId="25" fillId="2" borderId="0" xfId="0" applyFont="1" applyFill="1" applyBorder="1" applyProtection="1"/>
    <xf numFmtId="0" fontId="18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1" fontId="5" fillId="2" borderId="0" xfId="0" applyNumberFormat="1" applyFont="1" applyFill="1" applyBorder="1" applyProtection="1"/>
    <xf numFmtId="164" fontId="18" fillId="2" borderId="0" xfId="0" applyNumberFormat="1" applyFont="1" applyFill="1" applyBorder="1" applyProtection="1"/>
    <xf numFmtId="43" fontId="5" fillId="2" borderId="0" xfId="0" applyNumberFormat="1" applyFont="1" applyFill="1" applyBorder="1" applyProtection="1"/>
    <xf numFmtId="39" fontId="18" fillId="2" borderId="0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41" fontId="6" fillId="2" borderId="0" xfId="0" applyNumberFormat="1" applyFont="1" applyFill="1" applyBorder="1" applyProtection="1"/>
    <xf numFmtId="2" fontId="18" fillId="2" borderId="0" xfId="0" applyNumberFormat="1" applyFont="1" applyFill="1" applyBorder="1" applyProtection="1"/>
    <xf numFmtId="0" fontId="6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right"/>
    </xf>
    <xf numFmtId="41" fontId="5" fillId="2" borderId="1" xfId="0" applyNumberFormat="1" applyFont="1" applyFill="1" applyBorder="1" applyProtection="1"/>
    <xf numFmtId="0" fontId="21" fillId="2" borderId="0" xfId="0" applyFont="1" applyFill="1" applyBorder="1" applyAlignment="1" applyProtection="1">
      <alignment horizontal="right" vertical="center" wrapText="1"/>
    </xf>
    <xf numFmtId="0" fontId="21" fillId="2" borderId="0" xfId="0" applyFont="1" applyFill="1" applyBorder="1" applyAlignment="1">
      <alignment horizontal="right" wrapText="1"/>
    </xf>
    <xf numFmtId="37" fontId="0" fillId="2" borderId="0" xfId="0" applyNumberFormat="1" applyFill="1" applyBorder="1" applyAlignment="1" applyProtection="1">
      <alignment vertical="center" wrapText="1"/>
    </xf>
    <xf numFmtId="8" fontId="33" fillId="2" borderId="0" xfId="0" applyNumberFormat="1" applyFont="1" applyFill="1" applyBorder="1" applyAlignment="1" applyProtection="1">
      <alignment horizontal="center" vertical="center"/>
    </xf>
    <xf numFmtId="165" fontId="34" fillId="2" borderId="0" xfId="0" applyNumberFormat="1" applyFont="1" applyFill="1" applyBorder="1" applyAlignment="1" applyProtection="1">
      <alignment horizontal="center" vertical="center"/>
    </xf>
    <xf numFmtId="7" fontId="35" fillId="2" borderId="0" xfId="0" applyNumberFormat="1" applyFont="1" applyFill="1" applyBorder="1" applyAlignment="1" applyProtection="1">
      <alignment horizontal="center" vertical="center"/>
    </xf>
    <xf numFmtId="165" fontId="35" fillId="2" borderId="0" xfId="0" applyNumberFormat="1" applyFont="1" applyFill="1" applyBorder="1" applyAlignment="1" applyProtection="1">
      <alignment horizontal="center" vertical="center"/>
    </xf>
    <xf numFmtId="0" fontId="41" fillId="2" borderId="0" xfId="1" applyNumberFormat="1" applyFont="1" applyFill="1" applyAlignment="1"/>
    <xf numFmtId="0" fontId="18" fillId="2" borderId="0" xfId="0" applyFont="1" applyFill="1" applyBorder="1" applyAlignment="1" applyProtection="1">
      <alignment horizontal="center"/>
    </xf>
    <xf numFmtId="0" fontId="1" fillId="0" borderId="0" xfId="0" applyNumberFormat="1" applyFont="1" applyBorder="1" applyAlignment="1"/>
    <xf numFmtId="0" fontId="0" fillId="2" borderId="0" xfId="0" applyFill="1" applyAlignment="1">
      <alignment horizontal="left" wrapText="1"/>
    </xf>
    <xf numFmtId="37" fontId="27" fillId="0" borderId="0" xfId="0" applyNumberFormat="1" applyFont="1" applyBorder="1" applyAlignment="1" applyProtection="1">
      <alignment vertical="center"/>
    </xf>
    <xf numFmtId="41" fontId="29" fillId="2" borderId="0" xfId="0" applyNumberFormat="1" applyFont="1" applyFill="1" applyBorder="1" applyProtection="1"/>
    <xf numFmtId="41" fontId="29" fillId="2" borderId="1" xfId="0" applyNumberFormat="1" applyFont="1" applyFill="1" applyBorder="1" applyProtection="1"/>
    <xf numFmtId="0" fontId="1" fillId="2" borderId="7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0" fontId="31" fillId="2" borderId="8" xfId="0" applyFont="1" applyFill="1" applyBorder="1" applyAlignment="1">
      <alignment wrapText="1"/>
    </xf>
    <xf numFmtId="0" fontId="1" fillId="2" borderId="9" xfId="0" applyNumberFormat="1" applyFont="1" applyFill="1" applyBorder="1" applyAlignment="1" applyProtection="1"/>
    <xf numFmtId="0" fontId="38" fillId="2" borderId="13" xfId="0" applyFont="1" applyFill="1" applyBorder="1" applyAlignment="1" applyProtection="1">
      <alignment horizontal="center" wrapText="1"/>
    </xf>
    <xf numFmtId="8" fontId="33" fillId="2" borderId="12" xfId="0" applyNumberFormat="1" applyFont="1" applyFill="1" applyBorder="1" applyAlignment="1" applyProtection="1">
      <alignment horizontal="center" vertical="center"/>
    </xf>
    <xf numFmtId="7" fontId="35" fillId="2" borderId="12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/>
    <xf numFmtId="0" fontId="16" fillId="2" borderId="13" xfId="0" applyNumberFormat="1" applyFont="1" applyFill="1" applyBorder="1" applyAlignment="1" applyProtection="1"/>
    <xf numFmtId="164" fontId="18" fillId="2" borderId="13" xfId="0" applyNumberFormat="1" applyFont="1" applyFill="1" applyBorder="1" applyProtection="1"/>
    <xf numFmtId="39" fontId="18" fillId="2" borderId="13" xfId="0" applyNumberFormat="1" applyFont="1" applyFill="1" applyBorder="1" applyAlignment="1" applyProtection="1">
      <alignment horizontal="right"/>
    </xf>
    <xf numFmtId="2" fontId="18" fillId="2" borderId="13" xfId="0" applyNumberFormat="1" applyFont="1" applyFill="1" applyBorder="1" applyProtection="1"/>
    <xf numFmtId="2" fontId="18" fillId="2" borderId="13" xfId="0" applyNumberFormat="1" applyFont="1" applyFill="1" applyBorder="1" applyAlignment="1" applyProtection="1">
      <alignment horizontal="center"/>
    </xf>
    <xf numFmtId="43" fontId="5" fillId="2" borderId="13" xfId="0" applyNumberFormat="1" applyFont="1" applyFill="1" applyBorder="1" applyAlignment="1" applyProtection="1">
      <alignment horizontal="right"/>
    </xf>
    <xf numFmtId="43" fontId="29" fillId="2" borderId="13" xfId="0" applyNumberFormat="1" applyFont="1" applyFill="1" applyBorder="1" applyAlignment="1" applyProtection="1">
      <alignment horizontal="right"/>
    </xf>
    <xf numFmtId="43" fontId="29" fillId="2" borderId="15" xfId="0" applyNumberFormat="1" applyFont="1" applyFill="1" applyBorder="1" applyAlignment="1" applyProtection="1">
      <alignment horizontal="right"/>
    </xf>
    <xf numFmtId="44" fontId="6" fillId="2" borderId="13" xfId="0" applyNumberFormat="1" applyFont="1" applyFill="1" applyBorder="1" applyProtection="1"/>
    <xf numFmtId="0" fontId="1" fillId="2" borderId="10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14" fillId="2" borderId="12" xfId="0" applyFont="1" applyFill="1" applyBorder="1" applyProtection="1"/>
    <xf numFmtId="0" fontId="18" fillId="2" borderId="12" xfId="0" applyFont="1" applyFill="1" applyBorder="1" applyProtection="1"/>
    <xf numFmtId="0" fontId="18" fillId="2" borderId="12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right"/>
    </xf>
    <xf numFmtId="0" fontId="6" fillId="2" borderId="12" xfId="0" applyFont="1" applyFill="1" applyBorder="1" applyAlignment="1" applyProtection="1">
      <alignment horizontal="right"/>
    </xf>
    <xf numFmtId="0" fontId="16" fillId="2" borderId="7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9" xfId="0" applyNumberFormat="1" applyFont="1" applyFill="1" applyBorder="1" applyAlignment="1"/>
    <xf numFmtId="2" fontId="18" fillId="2" borderId="0" xfId="0" applyNumberFormat="1" applyFont="1" applyFill="1" applyBorder="1" applyAlignment="1" applyProtection="1">
      <alignment horizontal="center" wrapText="1"/>
    </xf>
    <xf numFmtId="165" fontId="34" fillId="2" borderId="2" xfId="0" applyNumberFormat="1" applyFont="1" applyFill="1" applyBorder="1" applyAlignment="1" applyProtection="1">
      <alignment horizontal="center" vertical="center"/>
    </xf>
    <xf numFmtId="43" fontId="5" fillId="2" borderId="1" xfId="0" applyNumberFormat="1" applyFont="1" applyFill="1" applyBorder="1" applyAlignment="1" applyProtection="1">
      <alignment horizontal="right"/>
    </xf>
    <xf numFmtId="44" fontId="6" fillId="2" borderId="2" xfId="0" applyNumberFormat="1" applyFont="1" applyFill="1" applyBorder="1" applyAlignment="1" applyProtection="1"/>
    <xf numFmtId="40" fontId="5" fillId="2" borderId="0" xfId="0" applyNumberFormat="1" applyFont="1" applyFill="1" applyBorder="1" applyAlignment="1"/>
    <xf numFmtId="0" fontId="46" fillId="2" borderId="0" xfId="0" applyNumberFormat="1" applyFont="1" applyFill="1" applyAlignment="1"/>
    <xf numFmtId="0" fontId="47" fillId="2" borderId="0" xfId="0" applyNumberFormat="1" applyFont="1" applyFill="1" applyAlignment="1"/>
    <xf numFmtId="0" fontId="47" fillId="2" borderId="0" xfId="0" applyNumberFormat="1" applyFont="1" applyFill="1" applyAlignment="1">
      <alignment horizontal="center"/>
    </xf>
    <xf numFmtId="0" fontId="47" fillId="2" borderId="0" xfId="0" applyNumberFormat="1" applyFont="1" applyFill="1" applyBorder="1" applyAlignment="1">
      <alignment horizontal="center"/>
    </xf>
    <xf numFmtId="40" fontId="47" fillId="2" borderId="0" xfId="0" applyNumberFormat="1" applyFont="1" applyFill="1" applyAlignment="1"/>
    <xf numFmtId="0" fontId="47" fillId="2" borderId="1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27" fillId="3" borderId="0" xfId="0" applyFont="1" applyFill="1" applyBorder="1" applyAlignment="1"/>
    <xf numFmtId="0" fontId="37" fillId="3" borderId="0" xfId="0" applyFont="1" applyFill="1" applyBorder="1" applyAlignment="1"/>
    <xf numFmtId="0" fontId="27" fillId="2" borderId="12" xfId="0" applyFont="1" applyFill="1" applyBorder="1"/>
    <xf numFmtId="0" fontId="27" fillId="2" borderId="0" xfId="0" applyFont="1" applyFill="1" applyBorder="1"/>
    <xf numFmtId="0" fontId="27" fillId="2" borderId="13" xfId="0" applyFont="1" applyFill="1" applyBorder="1"/>
    <xf numFmtId="0" fontId="22" fillId="2" borderId="1" xfId="0" applyNumberFormat="1" applyFont="1" applyFill="1" applyBorder="1" applyAlignment="1">
      <alignment horizontal="center"/>
    </xf>
    <xf numFmtId="0" fontId="22" fillId="2" borderId="0" xfId="0" applyNumberFormat="1" applyFont="1" applyFill="1" applyAlignment="1">
      <alignment horizontal="center"/>
    </xf>
    <xf numFmtId="0" fontId="22" fillId="0" borderId="0" xfId="0" applyNumberFormat="1" applyFont="1" applyAlignment="1"/>
    <xf numFmtId="0" fontId="6" fillId="2" borderId="14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0" fontId="53" fillId="2" borderId="0" xfId="0" applyFont="1" applyFill="1" applyBorder="1" applyProtection="1"/>
    <xf numFmtId="0" fontId="54" fillId="2" borderId="1" xfId="0" applyNumberFormat="1" applyFont="1" applyFill="1" applyBorder="1" applyAlignment="1" applyProtection="1">
      <alignment horizontal="center"/>
    </xf>
    <xf numFmtId="0" fontId="45" fillId="2" borderId="0" xfId="0" applyNumberFormat="1" applyFont="1" applyFill="1" applyBorder="1" applyAlignment="1" applyProtection="1">
      <alignment horizontal="center" vertical="top" wrapText="1"/>
    </xf>
    <xf numFmtId="0" fontId="55" fillId="2" borderId="0" xfId="0" applyFont="1" applyFill="1" applyBorder="1" applyAlignment="1" applyProtection="1">
      <alignment horizontal="center" vertical="top" wrapText="1"/>
    </xf>
    <xf numFmtId="0" fontId="52" fillId="2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6" fillId="2" borderId="1" xfId="0" applyNumberFormat="1" applyFont="1" applyFill="1" applyBorder="1" applyAlignment="1" applyProtection="1">
      <alignment horizontal="center"/>
    </xf>
    <xf numFmtId="0" fontId="30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9" fillId="2" borderId="0" xfId="0" applyFont="1" applyFill="1" applyBorder="1" applyAlignment="1" applyProtection="1">
      <alignment horizontal="right" vertical="center"/>
    </xf>
    <xf numFmtId="0" fontId="0" fillId="0" borderId="0" xfId="0" applyAlignment="1"/>
    <xf numFmtId="0" fontId="9" fillId="2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5" fontId="34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27" fillId="0" borderId="2" xfId="0" applyNumberFormat="1" applyFont="1" applyBorder="1" applyAlignment="1">
      <alignment horizontal="center" vertical="center" wrapText="1"/>
    </xf>
    <xf numFmtId="37" fontId="2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43" fontId="5" fillId="4" borderId="0" xfId="0" applyNumberFormat="1" applyFont="1" applyFill="1" applyBorder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43" fontId="29" fillId="2" borderId="0" xfId="0" applyNumberFormat="1" applyFont="1" applyFill="1" applyBorder="1" applyAlignment="1" applyProtection="1">
      <alignment wrapText="1"/>
    </xf>
    <xf numFmtId="0" fontId="43" fillId="2" borderId="0" xfId="0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horizontal="center" wrapText="1"/>
    </xf>
    <xf numFmtId="0" fontId="16" fillId="2" borderId="0" xfId="0" applyNumberFormat="1" applyFont="1" applyFill="1" applyBorder="1" applyAlignment="1" applyProtection="1">
      <alignment horizontal="center" wrapText="1"/>
    </xf>
    <xf numFmtId="43" fontId="5" fillId="2" borderId="0" xfId="0" applyNumberFormat="1" applyFont="1" applyFill="1" applyBorder="1" applyAlignment="1" applyProtection="1">
      <alignment horizontal="right" wrapText="1"/>
    </xf>
    <xf numFmtId="0" fontId="16" fillId="2" borderId="0" xfId="0" applyFont="1" applyFill="1" applyBorder="1" applyAlignment="1" applyProtection="1">
      <alignment wrapText="1"/>
    </xf>
    <xf numFmtId="43" fontId="5" fillId="2" borderId="0" xfId="0" applyNumberFormat="1" applyFont="1" applyFill="1" applyBorder="1" applyAlignment="1" applyProtection="1">
      <alignment wrapText="1"/>
    </xf>
    <xf numFmtId="0" fontId="18" fillId="4" borderId="1" xfId="0" applyFont="1" applyFill="1" applyBorder="1" applyAlignment="1" applyProtection="1">
      <alignment horizontal="center" wrapText="1"/>
    </xf>
    <xf numFmtId="0" fontId="16" fillId="4" borderId="1" xfId="0" applyNumberFormat="1" applyFont="1" applyFill="1" applyBorder="1" applyAlignment="1" applyProtection="1">
      <alignment horizontal="center" wrapText="1"/>
    </xf>
    <xf numFmtId="43" fontId="5" fillId="4" borderId="0" xfId="0" applyNumberFormat="1" applyFont="1" applyFill="1" applyBorder="1" applyAlignment="1" applyProtection="1">
      <alignment horizontal="right" wrapText="1"/>
    </xf>
    <xf numFmtId="0" fontId="0" fillId="0" borderId="0" xfId="0" applyBorder="1" applyAlignment="1">
      <alignment wrapText="1"/>
    </xf>
    <xf numFmtId="8" fontId="36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3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FF"/>
      <color rgb="FF006600"/>
      <color rgb="FF008000"/>
      <color rgb="FFCC0000"/>
      <color rgb="FFFFFFCC"/>
      <color rgb="FFFFFF99"/>
      <color rgb="FF009900"/>
      <color rgb="FF0033CC"/>
      <color rgb="FFFF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123825</xdr:rowOff>
        </xdr:from>
        <xdr:to>
          <xdr:col>12</xdr:col>
          <xdr:colOff>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96762</xdr:colOff>
      <xdr:row>7</xdr:row>
      <xdr:rowOff>32443</xdr:rowOff>
    </xdr:from>
    <xdr:to>
      <xdr:col>11</xdr:col>
      <xdr:colOff>1428751</xdr:colOff>
      <xdr:row>11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5429" y="2286693"/>
          <a:ext cx="4940905" cy="1428056"/>
        </a:xfrm>
        <a:prstGeom prst="rect">
          <a:avLst/>
        </a:prstGeom>
      </xdr:spPr>
    </xdr:pic>
    <xdr:clientData/>
  </xdr:twoCellAnchor>
  <xdr:twoCellAnchor>
    <xdr:from>
      <xdr:col>6</xdr:col>
      <xdr:colOff>592667</xdr:colOff>
      <xdr:row>6</xdr:row>
      <xdr:rowOff>370417</xdr:rowOff>
    </xdr:from>
    <xdr:to>
      <xdr:col>8</xdr:col>
      <xdr:colOff>1236150</xdr:colOff>
      <xdr:row>8</xdr:row>
      <xdr:rowOff>249753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 flipH="1" flipV="1">
          <a:off x="7651750" y="2116667"/>
          <a:ext cx="1871150" cy="630753"/>
        </a:xfrm>
        <a:prstGeom prst="straightConnector1">
          <a:avLst/>
        </a:prstGeom>
        <a:ln w="19050">
          <a:solidFill>
            <a:schemeClr val="tx1"/>
          </a:solidFill>
          <a:prstDash val="solid"/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613852</xdr:colOff>
      <xdr:row>8</xdr:row>
      <xdr:rowOff>338682</xdr:rowOff>
    </xdr:from>
    <xdr:to>
      <xdr:col>11</xdr:col>
      <xdr:colOff>554584</xdr:colOff>
      <xdr:row>10</xdr:row>
      <xdr:rowOff>22239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 flipV="1">
          <a:off x="7672935" y="2836349"/>
          <a:ext cx="4449232" cy="699557"/>
        </a:xfrm>
        <a:prstGeom prst="straightConnector1">
          <a:avLst/>
        </a:prstGeom>
        <a:ln w="19050">
          <a:solidFill>
            <a:schemeClr val="tx1"/>
          </a:solidFill>
          <a:prstDash val="solid"/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428631</xdr:colOff>
      <xdr:row>0</xdr:row>
      <xdr:rowOff>83347</xdr:rowOff>
    </xdr:from>
    <xdr:to>
      <xdr:col>1</xdr:col>
      <xdr:colOff>607219</xdr:colOff>
      <xdr:row>6</xdr:row>
      <xdr:rowOff>28274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31" y="83347"/>
          <a:ext cx="1726401" cy="168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solidFill>
          <a:srgbClr val="FFFFE1"/>
        </a:solidFill>
        <a:ln w="12700" cap="flat" cmpd="thickThin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>
          <a:outerShdw dist="35921" dir="2700000" algn="ctr" rotWithShape="0">
            <a:srgbClr val="000000"/>
          </a:outerShdw>
        </a:effec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T54"/>
  <sheetViews>
    <sheetView tabSelected="1" showRuler="0" showOutlineSymbols="0" zoomScale="80" zoomScaleNormal="80" workbookViewId="0">
      <selection activeCell="D7" sqref="D7:G7"/>
    </sheetView>
  </sheetViews>
  <sheetFormatPr defaultRowHeight="15" x14ac:dyDescent="0.2"/>
  <cols>
    <col min="1" max="1" width="18" style="1" customWidth="1"/>
    <col min="2" max="2" width="16.44140625" style="1" customWidth="1"/>
    <col min="3" max="3" width="18.44140625" style="1" customWidth="1"/>
    <col min="4" max="4" width="15.88671875" style="1" customWidth="1"/>
    <col min="5" max="5" width="4.77734375" style="1" customWidth="1"/>
    <col min="6" max="6" width="8.77734375" style="1" customWidth="1"/>
    <col min="7" max="7" width="10.44140625" style="1" customWidth="1"/>
    <col min="8" max="8" width="3.77734375" style="1" customWidth="1"/>
    <col min="9" max="9" width="17.77734375" style="1" customWidth="1"/>
    <col min="10" max="10" width="10.77734375" style="1" customWidth="1"/>
    <col min="11" max="11" width="9.77734375" style="1" customWidth="1"/>
    <col min="12" max="12" width="16.77734375" style="1" customWidth="1"/>
    <col min="13" max="13" width="4.109375" style="1" hidden="1" customWidth="1"/>
    <col min="14" max="14" width="13" style="1" hidden="1" customWidth="1"/>
    <col min="15" max="15" width="8.88671875" style="1" hidden="1" customWidth="1"/>
    <col min="16" max="16" width="9.77734375" style="1" hidden="1" customWidth="1"/>
    <col min="17" max="21" width="0" style="1" hidden="1" customWidth="1"/>
    <col min="22" max="16384" width="8.88671875" style="1"/>
  </cols>
  <sheetData>
    <row r="1" spans="1:16" ht="39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15"/>
      <c r="N1" s="2"/>
      <c r="O1" s="2"/>
    </row>
    <row r="2" spans="1:16" ht="15.75" x14ac:dyDescent="0.25">
      <c r="A2" s="5"/>
      <c r="B2" s="5"/>
      <c r="C2" s="5"/>
      <c r="D2" s="3"/>
      <c r="E2" s="4"/>
      <c r="F2" s="4"/>
      <c r="G2" s="4"/>
      <c r="H2" s="3"/>
      <c r="I2" s="5"/>
      <c r="J2" s="5"/>
      <c r="K2" s="5"/>
      <c r="L2" s="5"/>
      <c r="M2" s="5"/>
      <c r="N2" s="2"/>
      <c r="O2" s="2"/>
    </row>
    <row r="3" spans="1:16" ht="26.25" customHeight="1" x14ac:dyDescent="0.2">
      <c r="A3" s="154" t="s">
        <v>68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16"/>
      <c r="N3" s="2"/>
      <c r="O3" s="2"/>
    </row>
    <row r="4" spans="1:16" ht="26.25" x14ac:dyDescent="0.2">
      <c r="A4" s="130" t="s">
        <v>67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45"/>
      <c r="N4" s="2"/>
      <c r="O4" s="2"/>
    </row>
    <row r="5" spans="1:16" ht="13.5" customHeight="1" x14ac:dyDescent="0.2">
      <c r="A5" s="13"/>
      <c r="B5" s="45"/>
      <c r="C5" s="45"/>
      <c r="D5" s="45"/>
      <c r="E5" s="45"/>
      <c r="F5" s="45"/>
      <c r="G5" s="45"/>
      <c r="H5" s="139" t="s">
        <v>83</v>
      </c>
      <c r="I5" s="140"/>
      <c r="J5" s="140"/>
      <c r="K5" s="140"/>
      <c r="L5" s="140"/>
      <c r="M5" s="45"/>
      <c r="N5" s="2"/>
      <c r="O5" s="2"/>
    </row>
    <row r="6" spans="1:16" ht="15.75" customHeight="1" thickBot="1" x14ac:dyDescent="0.25">
      <c r="A6" s="13"/>
      <c r="B6" s="45"/>
      <c r="C6" s="45"/>
      <c r="D6" s="45"/>
      <c r="E6" s="45"/>
      <c r="F6" s="45"/>
      <c r="G6" s="45"/>
      <c r="H6" s="140"/>
      <c r="I6" s="140"/>
      <c r="J6" s="140"/>
      <c r="K6" s="140"/>
      <c r="L6" s="140"/>
      <c r="M6" s="45"/>
      <c r="N6" s="109"/>
      <c r="O6" s="109"/>
      <c r="P6" s="109"/>
    </row>
    <row r="7" spans="1:16" ht="39.950000000000003" customHeight="1" thickBot="1" x14ac:dyDescent="0.3">
      <c r="A7" s="141" t="s">
        <v>84</v>
      </c>
      <c r="B7" s="142"/>
      <c r="C7" s="142"/>
      <c r="D7" s="150" t="s">
        <v>19</v>
      </c>
      <c r="E7" s="151"/>
      <c r="F7" s="151"/>
      <c r="G7" s="152"/>
      <c r="H7" s="140"/>
      <c r="I7" s="140"/>
      <c r="J7" s="140"/>
      <c r="K7" s="140"/>
      <c r="L7" s="140"/>
      <c r="M7" s="14"/>
      <c r="N7" s="110" t="s">
        <v>56</v>
      </c>
      <c r="O7" s="109"/>
      <c r="P7" s="111"/>
    </row>
    <row r="8" spans="1:16" ht="20.100000000000001" customHeight="1" thickBot="1" x14ac:dyDescent="0.3">
      <c r="A8" s="46"/>
      <c r="B8" s="45"/>
      <c r="C8" s="45"/>
      <c r="D8" s="45"/>
      <c r="E8" s="47"/>
      <c r="F8" s="47"/>
      <c r="G8" s="47"/>
      <c r="H8" s="47"/>
      <c r="I8" s="72"/>
      <c r="J8" s="72"/>
      <c r="K8" s="72"/>
      <c r="L8" s="72"/>
      <c r="M8" s="45"/>
      <c r="N8" s="112"/>
      <c r="O8" s="112"/>
      <c r="P8" s="112"/>
    </row>
    <row r="9" spans="1:16" ht="39.950000000000003" customHeight="1" thickBot="1" x14ac:dyDescent="0.3">
      <c r="A9" s="141" t="s">
        <v>60</v>
      </c>
      <c r="B9" s="142"/>
      <c r="C9" s="142"/>
      <c r="D9" s="150">
        <v>16200</v>
      </c>
      <c r="E9" s="151"/>
      <c r="F9" s="151"/>
      <c r="G9" s="152"/>
      <c r="H9" s="73"/>
      <c r="I9" s="7"/>
      <c r="J9" s="45"/>
      <c r="K9" s="45"/>
      <c r="L9" s="45"/>
      <c r="M9" s="45"/>
      <c r="N9" s="110" t="s">
        <v>44</v>
      </c>
      <c r="O9" s="111" t="s">
        <v>19</v>
      </c>
      <c r="P9" s="113">
        <v>9.6300000000000008</v>
      </c>
    </row>
    <row r="10" spans="1:16" ht="39.950000000000003" customHeight="1" x14ac:dyDescent="0.4">
      <c r="A10" s="48"/>
      <c r="B10" s="62"/>
      <c r="C10" s="62"/>
      <c r="D10" s="63"/>
      <c r="E10" s="64"/>
      <c r="F10" s="64"/>
      <c r="G10" s="64"/>
      <c r="H10" s="64"/>
      <c r="I10" s="7"/>
      <c r="J10" s="7"/>
      <c r="K10" s="45"/>
      <c r="L10" s="45"/>
      <c r="M10" s="45"/>
      <c r="N10" s="110"/>
      <c r="O10" s="111"/>
      <c r="P10" s="113"/>
    </row>
    <row r="11" spans="1:16" ht="15" customHeight="1" x14ac:dyDescent="0.4">
      <c r="A11" s="48"/>
      <c r="B11" s="62"/>
      <c r="C11" s="62"/>
      <c r="D11" s="63"/>
      <c r="E11" s="64"/>
      <c r="F11" s="64"/>
      <c r="G11" s="64"/>
      <c r="H11" s="64"/>
      <c r="I11" s="7"/>
      <c r="J11" s="7"/>
      <c r="K11" s="45"/>
      <c r="L11" s="45"/>
      <c r="M11" s="45"/>
      <c r="N11" s="110"/>
      <c r="O11" s="111"/>
      <c r="P11" s="113"/>
    </row>
    <row r="12" spans="1:16" ht="16.5" thickBot="1" x14ac:dyDescent="0.3">
      <c r="A12" s="15"/>
      <c r="B12" s="7"/>
      <c r="C12" s="7"/>
      <c r="D12" s="7"/>
      <c r="E12" s="8"/>
      <c r="F12" s="8"/>
      <c r="G12" s="8"/>
      <c r="H12" s="8"/>
      <c r="I12" s="7"/>
      <c r="J12" s="7"/>
      <c r="K12" s="7"/>
      <c r="L12" s="7"/>
      <c r="M12" s="7"/>
      <c r="N12" s="110" t="s">
        <v>45</v>
      </c>
      <c r="O12" s="111" t="s">
        <v>31</v>
      </c>
      <c r="P12" s="113">
        <v>9.6300000000000008</v>
      </c>
    </row>
    <row r="13" spans="1:16" ht="15.75" customHeight="1" thickTop="1" x14ac:dyDescent="0.25">
      <c r="A13" s="132" t="s">
        <v>81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  <c r="M13" s="7"/>
      <c r="N13" s="110"/>
      <c r="O13" s="111"/>
      <c r="P13" s="113"/>
    </row>
    <row r="14" spans="1:16" ht="15.75" customHeight="1" x14ac:dyDescent="0.25">
      <c r="A14" s="135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7"/>
      <c r="M14" s="7"/>
      <c r="N14" s="110"/>
      <c r="O14" s="111"/>
      <c r="P14" s="113"/>
    </row>
    <row r="15" spans="1:16" ht="15.75" customHeight="1" x14ac:dyDescent="0.25">
      <c r="A15" s="135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7"/>
      <c r="M15" s="7"/>
      <c r="N15" s="110" t="s">
        <v>46</v>
      </c>
      <c r="O15" s="111" t="s">
        <v>32</v>
      </c>
      <c r="P15" s="113">
        <v>20.96</v>
      </c>
    </row>
    <row r="16" spans="1:16" ht="23.25" x14ac:dyDescent="0.35">
      <c r="A16" s="119"/>
      <c r="B16" s="120"/>
      <c r="C16" s="120"/>
      <c r="D16" s="120"/>
      <c r="E16" s="120"/>
      <c r="F16" s="120"/>
      <c r="G16" s="120"/>
      <c r="H16" s="120"/>
      <c r="I16" s="127" t="s">
        <v>14</v>
      </c>
      <c r="J16" s="120"/>
      <c r="K16" s="120"/>
      <c r="L16" s="121"/>
      <c r="M16" s="7"/>
      <c r="N16" s="110"/>
      <c r="O16" s="111"/>
      <c r="P16" s="113"/>
    </row>
    <row r="17" spans="1:20" ht="24.75" customHeight="1" x14ac:dyDescent="0.45">
      <c r="A17" s="125" t="s">
        <v>80</v>
      </c>
      <c r="B17" s="129" t="s">
        <v>58</v>
      </c>
      <c r="C17" s="126" t="s">
        <v>63</v>
      </c>
      <c r="D17" s="126" t="s">
        <v>64</v>
      </c>
      <c r="E17" s="138" t="s">
        <v>15</v>
      </c>
      <c r="F17" s="138"/>
      <c r="G17" s="147" t="s">
        <v>1</v>
      </c>
      <c r="H17" s="148"/>
      <c r="I17" s="126" t="s">
        <v>70</v>
      </c>
      <c r="J17" s="143" t="s">
        <v>59</v>
      </c>
      <c r="K17" s="144"/>
      <c r="L17" s="145"/>
      <c r="M17" s="17"/>
      <c r="N17" s="110" t="s">
        <v>47</v>
      </c>
      <c r="O17" s="111" t="s">
        <v>33</v>
      </c>
      <c r="P17" s="113">
        <v>29.65</v>
      </c>
    </row>
    <row r="18" spans="1:20" ht="29.25" customHeight="1" x14ac:dyDescent="0.25">
      <c r="A18" s="81">
        <f>D34</f>
        <v>53.45</v>
      </c>
      <c r="B18" s="65">
        <f>L34</f>
        <v>84.524000000000001</v>
      </c>
      <c r="C18" s="66">
        <v>22</v>
      </c>
      <c r="D18" s="105">
        <v>1.82</v>
      </c>
      <c r="E18" s="146">
        <v>4.25</v>
      </c>
      <c r="F18" s="146"/>
      <c r="G18" s="146">
        <v>6.5</v>
      </c>
      <c r="H18" s="149"/>
      <c r="I18" s="105">
        <f>IF(D7="A",S27,IF(D7="B",S28,IF(D7="C",S29,IF(D7="D",S30,IF(D7="E",S31)))))</f>
        <v>1</v>
      </c>
      <c r="J18" s="169">
        <f>A18+B18+C18+D18+E18+G18+I18</f>
        <v>173.54399999999998</v>
      </c>
      <c r="K18" s="170"/>
      <c r="L18" s="171"/>
      <c r="M18" s="18"/>
      <c r="N18" s="110" t="s">
        <v>48</v>
      </c>
      <c r="O18" s="111" t="s">
        <v>34</v>
      </c>
      <c r="P18" s="113">
        <v>46.04</v>
      </c>
    </row>
    <row r="19" spans="1:20" ht="29.25" hidden="1" customHeight="1" x14ac:dyDescent="0.5">
      <c r="A19" s="81">
        <f>D52</f>
        <v>74.382000000000005</v>
      </c>
      <c r="B19" s="65">
        <f>L53</f>
        <v>60.936</v>
      </c>
      <c r="C19" s="66">
        <v>35</v>
      </c>
      <c r="D19" s="66">
        <v>2.89</v>
      </c>
      <c r="E19" s="66">
        <v>4.25</v>
      </c>
      <c r="F19" s="66"/>
      <c r="G19" s="66"/>
      <c r="H19" s="66">
        <v>8</v>
      </c>
      <c r="I19" s="118"/>
      <c r="J19" s="118"/>
      <c r="K19" s="117"/>
      <c r="L19" s="80"/>
      <c r="M19" s="19"/>
      <c r="N19" s="110"/>
      <c r="O19" s="110"/>
      <c r="P19" s="110"/>
    </row>
    <row r="20" spans="1:20" ht="8.1" hidden="1" customHeight="1" x14ac:dyDescent="0.5">
      <c r="A20" s="82"/>
      <c r="B20" s="67"/>
      <c r="C20" s="68"/>
      <c r="D20" s="68"/>
      <c r="E20" s="68"/>
      <c r="F20" s="68"/>
      <c r="G20" s="68"/>
      <c r="H20" s="68"/>
      <c r="I20" s="118"/>
      <c r="J20" s="118"/>
      <c r="K20" s="117"/>
      <c r="L20" s="80"/>
      <c r="M20" s="7"/>
      <c r="N20" s="110"/>
      <c r="O20" s="110"/>
      <c r="P20" s="110"/>
    </row>
    <row r="21" spans="1:20" ht="15.75" customHeight="1" thickBot="1" x14ac:dyDescent="0.55000000000000004">
      <c r="A21" s="76"/>
      <c r="B21" s="77"/>
      <c r="C21" s="77"/>
      <c r="D21" s="77"/>
      <c r="E21" s="77"/>
      <c r="F21" s="77"/>
      <c r="G21" s="77"/>
      <c r="H21" s="77"/>
      <c r="I21" s="78"/>
      <c r="J21" s="78"/>
      <c r="K21" s="77"/>
      <c r="L21" s="79"/>
      <c r="M21" s="9"/>
      <c r="N21" s="112"/>
      <c r="O21" s="112"/>
      <c r="P21" s="112"/>
    </row>
    <row r="22" spans="1:20" ht="16.5" thickTop="1" x14ac:dyDescent="0.25">
      <c r="A22" s="94"/>
      <c r="B22" s="95"/>
      <c r="C22" s="95"/>
      <c r="D22" s="95"/>
      <c r="E22" s="83"/>
      <c r="F22" s="95"/>
      <c r="G22" s="95"/>
      <c r="H22" s="95"/>
      <c r="I22" s="95"/>
      <c r="J22" s="95"/>
      <c r="K22" s="95"/>
      <c r="L22" s="83"/>
      <c r="M22" s="9"/>
      <c r="N22" s="112"/>
      <c r="O22" s="112"/>
      <c r="P22" s="112"/>
    </row>
    <row r="23" spans="1:20" ht="26.25" x14ac:dyDescent="0.4">
      <c r="A23" s="96" t="s">
        <v>17</v>
      </c>
      <c r="B23" s="49"/>
      <c r="C23" s="49"/>
      <c r="D23" s="49"/>
      <c r="E23" s="84"/>
      <c r="F23" s="128" t="s">
        <v>16</v>
      </c>
      <c r="G23" s="71"/>
      <c r="H23" s="43"/>
      <c r="I23" s="49"/>
      <c r="J23" s="49"/>
      <c r="K23" s="49"/>
      <c r="L23" s="84"/>
      <c r="M23" s="9"/>
      <c r="N23" s="110" t="s">
        <v>44</v>
      </c>
      <c r="O23" s="111" t="s">
        <v>19</v>
      </c>
      <c r="P23" s="113">
        <v>36.26</v>
      </c>
    </row>
    <row r="24" spans="1:20" ht="21" x14ac:dyDescent="0.35">
      <c r="A24" s="97" t="s">
        <v>82</v>
      </c>
      <c r="B24" s="49"/>
      <c r="C24" s="49"/>
      <c r="D24" s="49"/>
      <c r="E24" s="84"/>
      <c r="F24" s="97" t="s">
        <v>82</v>
      </c>
      <c r="G24" s="9"/>
      <c r="H24" s="43"/>
      <c r="I24" s="49"/>
      <c r="J24" s="49"/>
      <c r="K24" s="49"/>
      <c r="L24" s="84"/>
      <c r="M24" s="9"/>
      <c r="N24" s="110" t="s">
        <v>45</v>
      </c>
      <c r="O24" s="111" t="s">
        <v>31</v>
      </c>
      <c r="P24" s="113">
        <v>36.26</v>
      </c>
    </row>
    <row r="25" spans="1:20" ht="21" customHeight="1" x14ac:dyDescent="0.35">
      <c r="A25" s="98" t="s">
        <v>61</v>
      </c>
      <c r="B25" s="70" t="s">
        <v>3</v>
      </c>
      <c r="C25" s="70" t="s">
        <v>13</v>
      </c>
      <c r="D25" s="104"/>
      <c r="E25" s="85"/>
      <c r="F25" s="160" t="s">
        <v>61</v>
      </c>
      <c r="G25" s="168"/>
      <c r="H25" s="168"/>
      <c r="I25" s="70" t="s">
        <v>3</v>
      </c>
      <c r="J25" s="160" t="s">
        <v>13</v>
      </c>
      <c r="K25" s="161"/>
      <c r="L25" s="89" t="s">
        <v>4</v>
      </c>
      <c r="M25" s="16"/>
      <c r="N25" s="110" t="s">
        <v>46</v>
      </c>
      <c r="O25" s="111" t="s">
        <v>32</v>
      </c>
      <c r="P25" s="113">
        <v>39.39</v>
      </c>
      <c r="Q25" s="42" t="s">
        <v>71</v>
      </c>
      <c r="R25" s="2"/>
      <c r="S25" s="2"/>
    </row>
    <row r="26" spans="1:20" ht="24.95" customHeight="1" x14ac:dyDescent="0.35">
      <c r="A26" s="99" t="s">
        <v>30</v>
      </c>
      <c r="B26" s="52">
        <f>MIN($D$9,2000)</f>
        <v>2000</v>
      </c>
      <c r="C26" s="6" t="s">
        <v>18</v>
      </c>
      <c r="D26" s="108">
        <f>IF(D7="A",13.43,IF(D7="B",13.43,IF(D7="C",29.23,IF(D7="D",41.34,IF(D7="E",64.19)))))</f>
        <v>13.43</v>
      </c>
      <c r="E26" s="86"/>
      <c r="F26" s="53"/>
      <c r="G26" s="53"/>
      <c r="H26" s="51" t="s">
        <v>30</v>
      </c>
      <c r="I26" s="52">
        <f>MIN($D$9,2000)</f>
        <v>2000</v>
      </c>
      <c r="J26" s="162" t="s">
        <v>18</v>
      </c>
      <c r="K26" s="163"/>
      <c r="L26" s="90">
        <v>13.98</v>
      </c>
      <c r="M26" s="10"/>
      <c r="N26" s="110" t="s">
        <v>47</v>
      </c>
      <c r="O26" s="111" t="s">
        <v>33</v>
      </c>
      <c r="P26" s="113">
        <v>43.81</v>
      </c>
      <c r="Q26" s="122" t="s">
        <v>72</v>
      </c>
      <c r="R26" s="122" t="s">
        <v>73</v>
      </c>
      <c r="S26" s="122" t="s">
        <v>74</v>
      </c>
    </row>
    <row r="27" spans="1:20" ht="24.95" customHeight="1" x14ac:dyDescent="0.35">
      <c r="A27" s="99" t="s">
        <v>5</v>
      </c>
      <c r="B27" s="52">
        <f>IF(D9&lt;2000,0,IF(D9&lt;4001,D9-2000,IF(D9&gt;4000,2000)))</f>
        <v>2000</v>
      </c>
      <c r="C27" s="54">
        <v>2.62</v>
      </c>
      <c r="D27" s="6">
        <f>IF(D9&lt;2000,0,+B27*C27/1000)</f>
        <v>5.24</v>
      </c>
      <c r="E27" s="87"/>
      <c r="F27" s="55"/>
      <c r="G27" s="55"/>
      <c r="H27" s="51" t="s">
        <v>5</v>
      </c>
      <c r="I27" s="52">
        <f>IF(D9&lt;2000,0,IF(D9&lt;4001,D9-2000,IF(D9&gt;4000,2000)))</f>
        <v>2000</v>
      </c>
      <c r="J27" s="164">
        <v>4.79</v>
      </c>
      <c r="K27" s="163"/>
      <c r="L27" s="90">
        <f>IF(D9&lt;2000,0,+I27*J27/1000)</f>
        <v>9.58</v>
      </c>
      <c r="M27" s="6"/>
      <c r="N27" s="110" t="s">
        <v>48</v>
      </c>
      <c r="O27" s="111" t="s">
        <v>34</v>
      </c>
      <c r="P27" s="113">
        <v>60.46</v>
      </c>
      <c r="Q27" s="42" t="s">
        <v>44</v>
      </c>
      <c r="R27" s="123" t="s">
        <v>19</v>
      </c>
      <c r="S27" s="44">
        <v>1</v>
      </c>
      <c r="T27" s="124" t="s">
        <v>75</v>
      </c>
    </row>
    <row r="28" spans="1:20" ht="24.95" customHeight="1" x14ac:dyDescent="0.35">
      <c r="A28" s="99" t="s">
        <v>7</v>
      </c>
      <c r="B28" s="52">
        <f>IF(D9&lt;4000,0,IF(D9&lt;10001,D9-4000,IF(D9&gt;10000,6000)))</f>
        <v>6000</v>
      </c>
      <c r="C28" s="54">
        <v>2.8</v>
      </c>
      <c r="D28" s="6">
        <f>IF(A12&gt;4000,0,+B28*C28/1000)</f>
        <v>16.8</v>
      </c>
      <c r="E28" s="87"/>
      <c r="F28" s="55"/>
      <c r="G28" s="55"/>
      <c r="H28" s="51" t="s">
        <v>7</v>
      </c>
      <c r="I28" s="52">
        <f>IF(D9&lt;4000,0,IF(D9&lt;10001,D9-4000,IF(D9&gt;10000,6000)))</f>
        <v>6000</v>
      </c>
      <c r="J28" s="164">
        <v>4.87</v>
      </c>
      <c r="K28" s="163"/>
      <c r="L28" s="90">
        <f>IF(A12&gt;4000,0,+I28*J28/1000)</f>
        <v>29.22</v>
      </c>
      <c r="M28" s="6"/>
      <c r="N28" s="110" t="s">
        <v>49</v>
      </c>
      <c r="O28" s="111" t="s">
        <v>35</v>
      </c>
      <c r="P28" s="113">
        <v>120.28</v>
      </c>
      <c r="Q28" s="42" t="s">
        <v>45</v>
      </c>
      <c r="R28" s="123" t="s">
        <v>31</v>
      </c>
      <c r="S28" s="44">
        <v>1</v>
      </c>
      <c r="T28" s="124" t="s">
        <v>76</v>
      </c>
    </row>
    <row r="29" spans="1:20" ht="24.95" customHeight="1" x14ac:dyDescent="0.35">
      <c r="A29" s="99" t="s">
        <v>8</v>
      </c>
      <c r="B29" s="52">
        <f>IF(D9&lt;10000,0,IF(D9&lt;20001,D9-10000,IF(D9&gt;20000,10000)))</f>
        <v>6200</v>
      </c>
      <c r="C29" s="54">
        <v>2.9</v>
      </c>
      <c r="D29" s="6">
        <f>IF(A12&gt;10000,0,+B29*C29/1000)</f>
        <v>17.98</v>
      </c>
      <c r="E29" s="87"/>
      <c r="F29" s="55"/>
      <c r="G29" s="55"/>
      <c r="H29" s="51" t="s">
        <v>8</v>
      </c>
      <c r="I29" s="52">
        <f>IF(D9&lt;10000,0,IF(D9&lt;20001,D9-10000,IF(D9&gt;20000,10000)))</f>
        <v>6200</v>
      </c>
      <c r="J29" s="164">
        <v>5.12</v>
      </c>
      <c r="K29" s="163"/>
      <c r="L29" s="90">
        <f>IF(A12&gt;10000,0,+I29*J29/1000)</f>
        <v>31.744</v>
      </c>
      <c r="M29" s="6"/>
      <c r="N29" s="110" t="s">
        <v>50</v>
      </c>
      <c r="O29" s="111" t="s">
        <v>36</v>
      </c>
      <c r="P29" s="113">
        <v>181.66</v>
      </c>
      <c r="Q29" s="42" t="s">
        <v>46</v>
      </c>
      <c r="R29" s="123" t="s">
        <v>32</v>
      </c>
      <c r="S29" s="44">
        <v>2</v>
      </c>
      <c r="T29" s="124" t="s">
        <v>77</v>
      </c>
    </row>
    <row r="30" spans="1:20" ht="24.95" customHeight="1" x14ac:dyDescent="0.35">
      <c r="A30" s="99" t="s">
        <v>9</v>
      </c>
      <c r="B30" s="52">
        <f>IF(D9&lt;20000,0,IF(D9&lt;30001,D9-20000,IF(D9&gt;30000,10000)))</f>
        <v>0</v>
      </c>
      <c r="C30" s="54">
        <v>3.08</v>
      </c>
      <c r="D30" s="6">
        <f>IF(A12&gt;20000,0,+B30*C30/1000)</f>
        <v>0</v>
      </c>
      <c r="E30" s="87"/>
      <c r="F30" s="55"/>
      <c r="G30" s="55"/>
      <c r="H30" s="51" t="s">
        <v>9</v>
      </c>
      <c r="I30" s="52">
        <f>IF(D9&lt;20000,0,IF(D9&lt;30001,D9-20000,IF(D9&gt;30000,10000)))</f>
        <v>0</v>
      </c>
      <c r="J30" s="164">
        <v>5.49</v>
      </c>
      <c r="K30" s="163"/>
      <c r="L30" s="90">
        <f>IF(A12&gt;20000,0,+I30*J30/1000)</f>
        <v>0</v>
      </c>
      <c r="M30" s="6"/>
      <c r="N30" s="110" t="s">
        <v>51</v>
      </c>
      <c r="O30" s="111" t="s">
        <v>37</v>
      </c>
      <c r="P30" s="113">
        <v>327.17</v>
      </c>
      <c r="Q30" s="42" t="s">
        <v>47</v>
      </c>
      <c r="R30" s="123" t="s">
        <v>33</v>
      </c>
      <c r="S30" s="44">
        <v>2</v>
      </c>
      <c r="T30" s="124" t="s">
        <v>78</v>
      </c>
    </row>
    <row r="31" spans="1:20" ht="24.95" customHeight="1" x14ac:dyDescent="0.35">
      <c r="A31" s="99" t="s">
        <v>10</v>
      </c>
      <c r="B31" s="52">
        <f>IF(D9&lt;30000,0,IF(D9&lt;40001,D9-30000, IF(D9&gt;40000,10000)))</f>
        <v>0</v>
      </c>
      <c r="C31" s="54">
        <v>3.27</v>
      </c>
      <c r="D31" s="6">
        <f>IF(A12&gt;30000,0,+B31*C31/1000)</f>
        <v>0</v>
      </c>
      <c r="E31" s="87"/>
      <c r="F31" s="55"/>
      <c r="G31" s="55"/>
      <c r="H31" s="51" t="s">
        <v>62</v>
      </c>
      <c r="I31" s="52">
        <f>IF(D9&lt;30000,0,D9-30000)</f>
        <v>0</v>
      </c>
      <c r="J31" s="164">
        <v>5.49</v>
      </c>
      <c r="K31" s="163"/>
      <c r="L31" s="90">
        <f>IF(A12&gt;30000,0,+I31*J31/1000)</f>
        <v>0</v>
      </c>
      <c r="M31" s="6"/>
      <c r="N31" s="110" t="s">
        <v>52</v>
      </c>
      <c r="O31" s="111" t="s">
        <v>38</v>
      </c>
      <c r="P31" s="113">
        <v>482.24</v>
      </c>
      <c r="Q31" s="42" t="s">
        <v>48</v>
      </c>
      <c r="R31" s="123" t="s">
        <v>34</v>
      </c>
      <c r="S31" s="44">
        <v>6</v>
      </c>
      <c r="T31" s="124" t="s">
        <v>79</v>
      </c>
    </row>
    <row r="32" spans="1:20" ht="24.95" customHeight="1" x14ac:dyDescent="0.35">
      <c r="A32" s="99" t="s">
        <v>11</v>
      </c>
      <c r="B32" s="52">
        <f>IF(D9&lt;40000,0,IF(D9&lt;50001,D9-40000,IF(D9&gt;50000,10000)))</f>
        <v>0</v>
      </c>
      <c r="C32" s="54">
        <v>3.43</v>
      </c>
      <c r="D32" s="6">
        <f>IF(A12&gt;40000,0,+B32*C32/1000)</f>
        <v>0</v>
      </c>
      <c r="E32" s="87"/>
      <c r="F32" s="55"/>
      <c r="G32" s="55"/>
      <c r="H32" s="60" t="s">
        <v>11</v>
      </c>
      <c r="I32" s="74">
        <v>0</v>
      </c>
      <c r="J32" s="158">
        <v>5.49</v>
      </c>
      <c r="K32" s="159"/>
      <c r="L32" s="91">
        <v>0</v>
      </c>
      <c r="M32" s="6"/>
      <c r="N32" s="110"/>
      <c r="O32" s="111"/>
      <c r="P32" s="110"/>
      <c r="Q32" s="42"/>
      <c r="R32" s="123"/>
      <c r="S32" s="44"/>
      <c r="T32" s="124"/>
    </row>
    <row r="33" spans="1:20" ht="24.95" customHeight="1" x14ac:dyDescent="0.35">
      <c r="A33" s="99" t="s">
        <v>12</v>
      </c>
      <c r="B33" s="61">
        <f>IF(D9&lt;50000,0,D9-50000)</f>
        <v>0</v>
      </c>
      <c r="C33" s="54">
        <v>6.84</v>
      </c>
      <c r="D33" s="106">
        <f>IF(A12&gt;50000,0,+B33*C33/1000)</f>
        <v>0</v>
      </c>
      <c r="E33" s="87"/>
      <c r="F33" s="55"/>
      <c r="G33" s="55"/>
      <c r="H33" s="60" t="s">
        <v>12</v>
      </c>
      <c r="I33" s="75">
        <v>0</v>
      </c>
      <c r="J33" s="158">
        <v>5.49</v>
      </c>
      <c r="K33" s="159"/>
      <c r="L33" s="92">
        <v>0</v>
      </c>
      <c r="M33" s="6"/>
      <c r="N33" s="114" t="s">
        <v>53</v>
      </c>
      <c r="O33" s="114"/>
      <c r="P33" s="110"/>
      <c r="Q33" s="42"/>
      <c r="R33" s="123"/>
      <c r="S33" s="44"/>
      <c r="T33" s="124"/>
    </row>
    <row r="34" spans="1:20" ht="24.95" customHeight="1" x14ac:dyDescent="0.35">
      <c r="A34" s="100" t="s">
        <v>6</v>
      </c>
      <c r="B34" s="57">
        <f>SUM(B26:B33)</f>
        <v>16200</v>
      </c>
      <c r="C34" s="50"/>
      <c r="D34" s="107">
        <f>IF(D26=FALSE,"")+SUM(D26:D33)</f>
        <v>53.45</v>
      </c>
      <c r="E34" s="88"/>
      <c r="F34" s="58"/>
      <c r="G34" s="58"/>
      <c r="H34" s="56" t="s">
        <v>6</v>
      </c>
      <c r="I34" s="57">
        <f>SUM(I26:I33)</f>
        <v>16200</v>
      </c>
      <c r="J34" s="59"/>
      <c r="K34" s="59"/>
      <c r="L34" s="93">
        <f>IF(L26=FALSE,"")+SUM(L26:L33)</f>
        <v>84.524000000000001</v>
      </c>
      <c r="M34" s="11"/>
      <c r="N34" s="110" t="s">
        <v>54</v>
      </c>
      <c r="O34" s="110" t="s">
        <v>39</v>
      </c>
      <c r="P34" s="113">
        <v>36.26</v>
      </c>
      <c r="Q34" s="42"/>
      <c r="R34" s="123"/>
      <c r="S34" s="44"/>
      <c r="T34" s="124"/>
    </row>
    <row r="35" spans="1:20" ht="21" thickBot="1" x14ac:dyDescent="0.35">
      <c r="A35" s="101"/>
      <c r="B35" s="102"/>
      <c r="C35" s="102"/>
      <c r="D35" s="102"/>
      <c r="E35" s="103"/>
      <c r="F35" s="102"/>
      <c r="G35" s="102"/>
      <c r="H35" s="102"/>
      <c r="I35" s="102"/>
      <c r="J35" s="102"/>
      <c r="K35" s="102"/>
      <c r="L35" s="103"/>
      <c r="M35" s="12"/>
      <c r="N35" s="110" t="s">
        <v>54</v>
      </c>
      <c r="O35" s="110" t="s">
        <v>40</v>
      </c>
      <c r="P35" s="113">
        <v>36.26</v>
      </c>
      <c r="Q35" s="42"/>
      <c r="R35" s="123"/>
      <c r="S35" s="44"/>
      <c r="T35" s="124"/>
    </row>
    <row r="36" spans="1:20" ht="22.5" thickTop="1" x14ac:dyDescent="0.3">
      <c r="A36" s="69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42"/>
      <c r="O36" s="42"/>
      <c r="P36" s="44"/>
    </row>
    <row r="37" spans="1:20" ht="21.75" x14ac:dyDescent="0.3">
      <c r="A37" s="69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42"/>
      <c r="O37" s="42"/>
      <c r="P37" s="44"/>
    </row>
    <row r="38" spans="1:20" ht="21.75" x14ac:dyDescent="0.3">
      <c r="A38" s="69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42"/>
      <c r="O38" s="42"/>
      <c r="P38" s="44"/>
    </row>
    <row r="39" spans="1:20" ht="20.25" hidden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2" t="s">
        <v>55</v>
      </c>
      <c r="O39" s="42" t="s">
        <v>41</v>
      </c>
      <c r="P39" s="44">
        <v>36.26</v>
      </c>
    </row>
    <row r="40" spans="1:20" ht="26.25" hidden="1" x14ac:dyDescent="0.4">
      <c r="A40" s="40" t="s">
        <v>20</v>
      </c>
      <c r="B40" s="20"/>
      <c r="C40" s="20"/>
      <c r="D40" s="20"/>
      <c r="E40" s="21"/>
      <c r="F40" s="21"/>
      <c r="G40" s="21"/>
      <c r="H40" s="41" t="s">
        <v>21</v>
      </c>
      <c r="I40" s="20"/>
      <c r="J40" s="20"/>
      <c r="K40" s="20"/>
      <c r="L40" s="21"/>
      <c r="M40" s="9"/>
      <c r="N40" s="42" t="s">
        <v>46</v>
      </c>
      <c r="O40" s="42" t="s">
        <v>42</v>
      </c>
      <c r="P40" s="44">
        <v>39.39</v>
      </c>
    </row>
    <row r="41" spans="1:20" ht="21" hidden="1" x14ac:dyDescent="0.35">
      <c r="A41" s="22" t="s">
        <v>57</v>
      </c>
      <c r="B41" s="20"/>
      <c r="C41" s="20"/>
      <c r="D41" s="20"/>
      <c r="E41" s="21"/>
      <c r="F41" s="21"/>
      <c r="G41" s="21"/>
      <c r="H41" s="22" t="s">
        <v>57</v>
      </c>
      <c r="I41" s="20"/>
      <c r="J41" s="20"/>
      <c r="K41" s="20"/>
      <c r="L41" s="21"/>
      <c r="M41" s="9"/>
      <c r="N41" s="42" t="s">
        <v>46</v>
      </c>
      <c r="O41" s="42" t="s">
        <v>43</v>
      </c>
      <c r="P41" s="44">
        <v>39.39</v>
      </c>
    </row>
    <row r="42" spans="1:20" ht="21" hidden="1" x14ac:dyDescent="0.35">
      <c r="A42" s="23" t="s">
        <v>2</v>
      </c>
      <c r="B42" s="23" t="s">
        <v>3</v>
      </c>
      <c r="C42" s="23" t="s">
        <v>13</v>
      </c>
      <c r="D42" s="24" t="s">
        <v>4</v>
      </c>
      <c r="E42" s="25"/>
      <c r="F42" s="25"/>
      <c r="G42" s="25"/>
      <c r="H42" s="23" t="s">
        <v>2</v>
      </c>
      <c r="I42" s="23" t="s">
        <v>3</v>
      </c>
      <c r="J42" s="165" t="s">
        <v>13</v>
      </c>
      <c r="K42" s="166"/>
      <c r="L42" s="24" t="s">
        <v>4</v>
      </c>
      <c r="M42" s="16"/>
      <c r="N42" s="2"/>
      <c r="O42" s="2"/>
      <c r="P42" s="2"/>
    </row>
    <row r="43" spans="1:20" ht="21" hidden="1" x14ac:dyDescent="0.35">
      <c r="A43" s="26" t="s">
        <v>30</v>
      </c>
      <c r="B43" s="27">
        <f>MIN($D$9,2000)</f>
        <v>2000</v>
      </c>
      <c r="C43" s="28" t="s">
        <v>18</v>
      </c>
      <c r="D43" s="29">
        <f>IF(D7="A",36.26,IF(D7="B",36.26,IF(D7="C",39.39,IF(D7="D",43.81,IF(D7="E",60.46,IF(D7="F",120.28,IF(D7="G",181.66,IF(D7="H",327.17,IF(D7="I",482.24,IF(D7="EA",36.26,IF(D7="FA",36.26,IF(D7="GB",36.26,IF(D7="HC",39.39,IF(D7="IC",39.39))))))))))))))</f>
        <v>36.26</v>
      </c>
      <c r="E43" s="30"/>
      <c r="F43" s="30"/>
      <c r="G43" s="30"/>
      <c r="H43" s="26" t="s">
        <v>30</v>
      </c>
      <c r="I43" s="27">
        <f>MIN($D$9,2000)</f>
        <v>2000</v>
      </c>
      <c r="J43" s="167" t="s">
        <v>18</v>
      </c>
      <c r="K43" s="157"/>
      <c r="L43" s="31">
        <v>25.36</v>
      </c>
      <c r="M43" s="10"/>
      <c r="N43" s="2"/>
      <c r="O43" s="2"/>
      <c r="P43" s="2"/>
    </row>
    <row r="44" spans="1:20" ht="21" hidden="1" x14ac:dyDescent="0.35">
      <c r="A44" s="26" t="s">
        <v>5</v>
      </c>
      <c r="B44" s="27">
        <f>IF(D9&lt;2000,0,IF(D9&lt;4001,D9-2000,IF(D9&gt;4000,2000)))</f>
        <v>2000</v>
      </c>
      <c r="C44" s="31">
        <v>2.0099999999999998</v>
      </c>
      <c r="D44" s="28">
        <f>IF(D9&lt;2000,0,+B44*C44/1000)</f>
        <v>4.0199999999999996</v>
      </c>
      <c r="E44" s="32"/>
      <c r="F44" s="32"/>
      <c r="G44" s="32"/>
      <c r="H44" s="26" t="s">
        <v>5</v>
      </c>
      <c r="I44" s="27">
        <f>IF(D9&lt;2000,0,IF(D9&lt;4001,D9-2000,IF(D9&gt;4000,2000)))</f>
        <v>2000</v>
      </c>
      <c r="J44" s="156">
        <v>2.41</v>
      </c>
      <c r="K44" s="157"/>
      <c r="L44" s="28">
        <f>IF(D9&lt;2000,0,+I44*J44/1000)</f>
        <v>4.82</v>
      </c>
      <c r="M44" s="6"/>
      <c r="N44" s="2"/>
      <c r="O44" s="2"/>
      <c r="P44" s="2"/>
    </row>
    <row r="45" spans="1:20" ht="21" hidden="1" x14ac:dyDescent="0.35">
      <c r="A45" s="26" t="s">
        <v>7</v>
      </c>
      <c r="B45" s="27">
        <f>IF(D9&lt;4000,0,IF(D9&lt;10001,D9-4000,IF(D9&gt;10000,6000)))</f>
        <v>6000</v>
      </c>
      <c r="C45" s="31">
        <v>2.4700000000000002</v>
      </c>
      <c r="D45" s="28">
        <f>IF(A12&gt;4000,0,+B45*C45/1000)</f>
        <v>14.820000000000002</v>
      </c>
      <c r="E45" s="32"/>
      <c r="F45" s="32"/>
      <c r="G45" s="32"/>
      <c r="H45" s="26" t="s">
        <v>7</v>
      </c>
      <c r="I45" s="27">
        <f>IF(D9&lt;4000,0,IF(D9&lt;10001,D9-4000,IF(D9&gt;10000,6000)))</f>
        <v>6000</v>
      </c>
      <c r="J45" s="156">
        <v>2.46</v>
      </c>
      <c r="K45" s="157"/>
      <c r="L45" s="28">
        <f>IF(A12&gt;4000,0,+I45*J45/1000)</f>
        <v>14.76</v>
      </c>
      <c r="M45" s="6"/>
      <c r="N45" s="2"/>
      <c r="O45" s="2"/>
      <c r="P45" s="2"/>
    </row>
    <row r="46" spans="1:20" ht="21" hidden="1" x14ac:dyDescent="0.35">
      <c r="A46" s="26" t="s">
        <v>22</v>
      </c>
      <c r="B46" s="27">
        <f>IF(D9&lt;10000,0,IF(D9&lt;40001,D9-10000,IF(D9&gt;40000,30000)))</f>
        <v>6200</v>
      </c>
      <c r="C46" s="31">
        <v>3.11</v>
      </c>
      <c r="D46" s="28">
        <f>IF(A12&gt;10000,0,+B46*C46/1000)</f>
        <v>19.282</v>
      </c>
      <c r="E46" s="32"/>
      <c r="F46" s="32"/>
      <c r="G46" s="32"/>
      <c r="H46" s="26" t="s">
        <v>27</v>
      </c>
      <c r="I46" s="27">
        <f>IF(D9&lt;10000,0,IF(D9&lt;30001,D9-10000,IF(D9&gt;30000,20000)))</f>
        <v>6200</v>
      </c>
      <c r="J46" s="156">
        <v>2.58</v>
      </c>
      <c r="K46" s="157"/>
      <c r="L46" s="28">
        <f>IF(A12&gt;10000,0,+I46*J46/1000)</f>
        <v>15.996</v>
      </c>
      <c r="M46" s="6"/>
      <c r="N46" s="2"/>
      <c r="O46" s="2"/>
      <c r="P46" s="2"/>
    </row>
    <row r="47" spans="1:20" ht="21" hidden="1" x14ac:dyDescent="0.35">
      <c r="A47" s="26" t="s">
        <v>23</v>
      </c>
      <c r="B47" s="27">
        <f>IF(D9&lt;40000,0,IF(D9&lt;150001,D9-40000,IF(D9&gt;150000,110000)))</f>
        <v>0</v>
      </c>
      <c r="C47" s="31">
        <v>3.28</v>
      </c>
      <c r="D47" s="28">
        <f>IF(A12&gt;20000,0,+B47*C47/1000)</f>
        <v>0</v>
      </c>
      <c r="E47" s="32"/>
      <c r="F47" s="32"/>
      <c r="G47" s="32"/>
      <c r="H47" s="26" t="s">
        <v>10</v>
      </c>
      <c r="I47" s="27">
        <f>IF(D9&lt;30000,0,IF(D9&lt;40001,D9-30000,IF(D9&gt;40000,10000)))</f>
        <v>0</v>
      </c>
      <c r="J47" s="156">
        <v>2.82</v>
      </c>
      <c r="K47" s="157"/>
      <c r="L47" s="28">
        <f>IF(A12&gt;20000,0,+I47*J47/1000)</f>
        <v>0</v>
      </c>
      <c r="M47" s="6"/>
      <c r="N47" s="2"/>
      <c r="O47" s="2"/>
      <c r="P47" s="2"/>
    </row>
    <row r="48" spans="1:20" ht="21" hidden="1" x14ac:dyDescent="0.35">
      <c r="A48" s="26" t="s">
        <v>24</v>
      </c>
      <c r="B48" s="27">
        <f>IF(D9&lt;150000,0,IF(D9&lt;300001,D9-150000, IF(D9&gt;300000,150000)))</f>
        <v>0</v>
      </c>
      <c r="C48" s="31">
        <v>3.55</v>
      </c>
      <c r="D48" s="28">
        <f>IF(A12&gt;30000,0,+B48*C48/1000)</f>
        <v>0</v>
      </c>
      <c r="E48" s="32"/>
      <c r="F48" s="32"/>
      <c r="G48" s="32"/>
      <c r="H48" s="26" t="s">
        <v>23</v>
      </c>
      <c r="I48" s="27">
        <f>IF(D9&lt;40000,0,IF(D9&lt;150001,D9-40000, IF(D9&gt;150000,110000)))</f>
        <v>0</v>
      </c>
      <c r="J48" s="156">
        <v>2.91</v>
      </c>
      <c r="K48" s="157"/>
      <c r="L48" s="28">
        <f>IF(A12&gt;30000,0,+I48*J48/1000)</f>
        <v>0</v>
      </c>
      <c r="M48" s="6"/>
      <c r="N48" s="2"/>
      <c r="O48" s="2"/>
      <c r="P48" s="2"/>
    </row>
    <row r="49" spans="1:16" ht="21" hidden="1" x14ac:dyDescent="0.35">
      <c r="A49" s="26" t="s">
        <v>25</v>
      </c>
      <c r="B49" s="27">
        <f>IF(D9&lt;300000,0,IF(D9&lt;600001,D9-300000,IF(D9&gt;600000,300000)))</f>
        <v>0</v>
      </c>
      <c r="C49" s="31">
        <v>3.92</v>
      </c>
      <c r="D49" s="28">
        <f>IF(A12&gt;40000,0,+B49*C49/1000)</f>
        <v>0</v>
      </c>
      <c r="E49" s="32"/>
      <c r="F49" s="32"/>
      <c r="G49" s="32"/>
      <c r="H49" s="26" t="s">
        <v>29</v>
      </c>
      <c r="I49" s="27">
        <f>IF(D9&lt;150000,0,IF(D9&lt;300001,D9-150000,IF(D9&gt;300000,150000)))</f>
        <v>0</v>
      </c>
      <c r="J49" s="156">
        <v>3.25</v>
      </c>
      <c r="K49" s="157"/>
      <c r="L49" s="28">
        <f>IF(A12&gt;40000,0,+I49*J49/1000)</f>
        <v>0</v>
      </c>
      <c r="M49" s="6"/>
      <c r="N49" s="2"/>
      <c r="O49" s="2"/>
      <c r="P49" s="2"/>
    </row>
    <row r="50" spans="1:16" ht="21" hidden="1" x14ac:dyDescent="0.35">
      <c r="A50" s="26" t="s">
        <v>28</v>
      </c>
      <c r="B50" s="27">
        <f>IF(D9&lt;600000,0,IF(D9&lt;1000001,D9-600000,IF(D9&gt;1000000,400000)))</f>
        <v>0</v>
      </c>
      <c r="C50" s="31">
        <v>4.63</v>
      </c>
      <c r="D50" s="28">
        <f>IF(A12&gt;40000,0,+B50*C50/1000)</f>
        <v>0</v>
      </c>
      <c r="E50" s="32"/>
      <c r="F50" s="32"/>
      <c r="G50" s="32"/>
      <c r="H50" s="26" t="s">
        <v>25</v>
      </c>
      <c r="I50" s="27">
        <f>IF(D9&lt;300000,0,IF(D9&lt;600001,D9-300000,IF(D9&gt;600000,300000)))</f>
        <v>0</v>
      </c>
      <c r="J50" s="156">
        <v>3.58</v>
      </c>
      <c r="K50" s="157"/>
      <c r="L50" s="28">
        <f>IF(A12&gt;40000,0,+I50*J50/1000)</f>
        <v>0</v>
      </c>
      <c r="M50" s="6"/>
      <c r="N50" s="2"/>
      <c r="O50" s="2"/>
      <c r="P50" s="2"/>
    </row>
    <row r="51" spans="1:16" ht="21" hidden="1" x14ac:dyDescent="0.35">
      <c r="A51" s="26" t="s">
        <v>26</v>
      </c>
      <c r="B51" s="27">
        <f>IF(D9&lt;1000000,0,D9-1000000)</f>
        <v>0</v>
      </c>
      <c r="C51" s="31">
        <v>4.74</v>
      </c>
      <c r="D51" s="28">
        <f>IF(A12&gt;50000,0,+B51*C51/1000)</f>
        <v>0</v>
      </c>
      <c r="E51" s="32"/>
      <c r="F51" s="32"/>
      <c r="G51" s="32"/>
      <c r="H51" s="26" t="s">
        <v>28</v>
      </c>
      <c r="I51" s="27">
        <f>IF(D9&lt;600000,0,IF(D9&lt;1000001,D9-600000,IF(D9&gt;1000000,400000)))</f>
        <v>0</v>
      </c>
      <c r="J51" s="156">
        <v>4.25</v>
      </c>
      <c r="K51" s="156"/>
      <c r="L51" s="28">
        <f>IF(A12&gt;40000,0,+I51*J51/1000)</f>
        <v>0</v>
      </c>
      <c r="M51" s="6"/>
      <c r="N51" s="2"/>
      <c r="O51" s="2"/>
      <c r="P51" s="2"/>
    </row>
    <row r="52" spans="1:16" ht="23.25" hidden="1" x14ac:dyDescent="0.35">
      <c r="A52" s="33" t="s">
        <v>6</v>
      </c>
      <c r="B52" s="34">
        <f>SUM(B43:B51)</f>
        <v>16200</v>
      </c>
      <c r="C52" s="22"/>
      <c r="D52" s="35">
        <f>SUM(D43:D51)</f>
        <v>74.382000000000005</v>
      </c>
      <c r="E52" s="36"/>
      <c r="F52" s="36"/>
      <c r="G52" s="36"/>
      <c r="H52" s="26" t="s">
        <v>26</v>
      </c>
      <c r="I52" s="27">
        <f>IF(D9&lt;1000000,0,D9-1000000)</f>
        <v>0</v>
      </c>
      <c r="J52" s="156">
        <v>5.16</v>
      </c>
      <c r="K52" s="156"/>
      <c r="L52" s="28">
        <f>IF(A12&gt;40000,0,+I52*J52/1000)</f>
        <v>0</v>
      </c>
      <c r="M52" s="6"/>
      <c r="N52" s="2"/>
      <c r="O52" s="2"/>
      <c r="P52" s="2"/>
    </row>
    <row r="53" spans="1:16" ht="23.25" hidden="1" x14ac:dyDescent="0.35">
      <c r="A53" s="37"/>
      <c r="B53" s="38"/>
      <c r="C53" s="38"/>
      <c r="D53" s="38"/>
      <c r="E53" s="38"/>
      <c r="F53" s="38"/>
      <c r="G53" s="38"/>
      <c r="H53" s="33" t="s">
        <v>6</v>
      </c>
      <c r="I53" s="34">
        <f>SUM(I43:I52)</f>
        <v>16200</v>
      </c>
      <c r="J53" s="39"/>
      <c r="K53" s="39"/>
      <c r="L53" s="35">
        <f>SUM(L43:L52)</f>
        <v>60.936</v>
      </c>
      <c r="M53" s="11"/>
      <c r="N53" s="2"/>
      <c r="O53" s="2"/>
      <c r="P53" s="2"/>
    </row>
    <row r="54" spans="1:16" ht="18.75" x14ac:dyDescent="0.3">
      <c r="A54" s="69"/>
    </row>
  </sheetData>
  <sheetProtection algorithmName="SHA-512" hashValue="9HDQzm4bI1RhKWV1O7OroPw7mJPJsA6kMI/zFHWZZMlnm6CEdzcv7NZZCBANNvwYnfYFvKoGTXixcZfd/CKtdA==" saltValue="kApzg8BELm3kPW0v7eszxw==" spinCount="100000" sheet="1" objects="1" scenarios="1" selectLockedCells="1"/>
  <customSheetViews>
    <customSheetView guid="{CF114C63-0154-45FB-BB2B-33D20660D481}" scale="65" showPageBreaks="1" outlineSymbols="0" printArea="1" hiddenRows="1" showRuler="0" topLeftCell="A5">
      <selection activeCell="E6" sqref="E6:F6"/>
      <pageMargins left="0.25" right="0.25" top="0.25" bottom="0.25" header="0" footer="0"/>
      <printOptions horizontalCentered="1"/>
      <pageSetup scale="65" orientation="landscape" horizontalDpi="360" verticalDpi="360" r:id="rId1"/>
      <headerFooter alignWithMargins="0">
        <oddFooter>&amp;L&amp;D&amp;C&amp;T&amp;R&amp;F</oddFooter>
      </headerFooter>
    </customSheetView>
  </customSheetViews>
  <mergeCells count="36">
    <mergeCell ref="J18:L18"/>
    <mergeCell ref="J31:K31"/>
    <mergeCell ref="J51:K51"/>
    <mergeCell ref="J52:K52"/>
    <mergeCell ref="J50:K50"/>
    <mergeCell ref="J47:K47"/>
    <mergeCell ref="J48:K48"/>
    <mergeCell ref="J49:K49"/>
    <mergeCell ref="A1:L1"/>
    <mergeCell ref="A3:L3"/>
    <mergeCell ref="J46:K46"/>
    <mergeCell ref="J32:K32"/>
    <mergeCell ref="J33:K33"/>
    <mergeCell ref="J25:K25"/>
    <mergeCell ref="J26:K26"/>
    <mergeCell ref="J27:K27"/>
    <mergeCell ref="J28:K28"/>
    <mergeCell ref="J29:K29"/>
    <mergeCell ref="J30:K30"/>
    <mergeCell ref="J42:K42"/>
    <mergeCell ref="J43:K43"/>
    <mergeCell ref="J44:K44"/>
    <mergeCell ref="J45:K45"/>
    <mergeCell ref="F25:H25"/>
    <mergeCell ref="E18:F18"/>
    <mergeCell ref="G17:H17"/>
    <mergeCell ref="G18:H18"/>
    <mergeCell ref="D7:G7"/>
    <mergeCell ref="D9:G9"/>
    <mergeCell ref="A4:L4"/>
    <mergeCell ref="A13:L15"/>
    <mergeCell ref="E17:F17"/>
    <mergeCell ref="H5:L7"/>
    <mergeCell ref="A7:C7"/>
    <mergeCell ref="A9:C9"/>
    <mergeCell ref="J17:L17"/>
  </mergeCells>
  <conditionalFormatting sqref="A18:L18">
    <cfRule type="expression" dxfId="3" priority="4">
      <formula>ISBLANK($D$7)</formula>
    </cfRule>
  </conditionalFormatting>
  <conditionalFormatting sqref="B26 I26">
    <cfRule type="expression" dxfId="2" priority="3">
      <formula>ISBLANK($D$9)</formula>
    </cfRule>
  </conditionalFormatting>
  <conditionalFormatting sqref="A18:L18 D34 L34 D26 L26">
    <cfRule type="expression" dxfId="1" priority="2">
      <formula>ISBLANK($D$9)</formula>
    </cfRule>
  </conditionalFormatting>
  <conditionalFormatting sqref="L26:L34 I26:I34 D26:D34 B26:B34">
    <cfRule type="expression" dxfId="0" priority="1">
      <formula>ISBLANK($D$7)</formula>
    </cfRule>
  </conditionalFormatting>
  <dataValidations count="1">
    <dataValidation type="list" allowBlank="1" showDropDown="1" showInputMessage="1" showErrorMessage="1" error="Please use the corresponding letter (A, B, C, or D) assigned to residential accounts." sqref="D7:G7" xr:uid="{27CE2B1C-2635-4A72-80F5-5B151A780F44}">
      <formula1>"a,b,c,d,A,B,C,D"</formula1>
    </dataValidation>
  </dataValidations>
  <printOptions horizontalCentered="1"/>
  <pageMargins left="0.25" right="0.25" top="0.25" bottom="0.25" header="0" footer="0"/>
  <pageSetup scale="68" orientation="landscape" horizontalDpi="360" verticalDpi="360" r:id="rId2"/>
  <headerFooter alignWithMargins="0">
    <oddFooter>&amp;L&amp;D&amp;C&amp;T&amp;R&amp;F</oddFooter>
  </headerFooter>
  <drawing r:id="rId3"/>
  <legacyDrawing r:id="rId4"/>
  <oleObjects>
    <mc:AlternateContent xmlns:mc="http://schemas.openxmlformats.org/markup-compatibility/2006">
      <mc:Choice Requires="x14">
        <oleObject progId="PBrush" shapeId="2050" r:id="rId5">
          <objectPr defaultSize="0" autoPict="0" r:id="rId6">
            <anchor moveWithCells="1" sizeWithCells="1">
              <from>
                <xdr:col>12</xdr:col>
                <xdr:colOff>0</xdr:colOff>
                <xdr:row>0</xdr:row>
                <xdr:rowOff>123825</xdr:rowOff>
              </from>
              <to>
                <xdr:col>12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2050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10 01 24</vt:lpstr>
      <vt:lpstr>'10 01 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dc:description>new non deposit analysis  new lotus version</dc:description>
  <cp:lastModifiedBy>Patricia Soto</cp:lastModifiedBy>
  <cp:lastPrinted>2023-05-18T19:57:40Z</cp:lastPrinted>
  <dcterms:created xsi:type="dcterms:W3CDTF">1999-09-14T15:56:48Z</dcterms:created>
  <dcterms:modified xsi:type="dcterms:W3CDTF">2025-03-06T16:59:47Z</dcterms:modified>
</cp:coreProperties>
</file>